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8800" windowHeight="13425"/>
  </bookViews>
  <sheets>
    <sheet name="Sheet1" sheetId="1" r:id="rId1"/>
  </sheets>
  <definedNames>
    <definedName name="_xlnm.Print_Area" localSheetId="0">Sheet1!$C$3:$O$32</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43" i="1"/>
  <c r="O32"/>
  <c r="N32"/>
  <c r="M32"/>
  <c r="L32"/>
  <c r="H32"/>
  <c r="J32"/>
  <c r="I32"/>
  <c r="O31"/>
  <c r="I31"/>
  <c r="M31"/>
  <c r="J31"/>
  <c r="K31"/>
  <c r="G31"/>
  <c r="H31"/>
  <c r="L31" s="1"/>
  <c r="J28"/>
  <c r="J30"/>
  <c r="L30"/>
  <c r="H30"/>
  <c r="M30" s="1"/>
  <c r="O29"/>
  <c r="M29"/>
  <c r="N29"/>
  <c r="J29"/>
  <c r="L29"/>
  <c r="H29"/>
  <c r="L28"/>
  <c r="H28"/>
  <c r="M28"/>
  <c r="N28"/>
  <c r="O23"/>
  <c r="O24"/>
  <c r="O25"/>
  <c r="O26"/>
  <c r="O27"/>
  <c r="N23"/>
  <c r="N24"/>
  <c r="N25"/>
  <c r="N26"/>
  <c r="N27"/>
  <c r="M23"/>
  <c r="M24"/>
  <c r="M25"/>
  <c r="M26"/>
  <c r="M27"/>
  <c r="L23"/>
  <c r="L24"/>
  <c r="L25"/>
  <c r="L26"/>
  <c r="L27"/>
  <c r="J27"/>
  <c r="J26"/>
  <c r="J25"/>
  <c r="J24"/>
  <c r="J23"/>
  <c r="J22"/>
  <c r="H23"/>
  <c r="H24"/>
  <c r="H25"/>
  <c r="H26"/>
  <c r="H27"/>
  <c r="N31" l="1"/>
  <c r="N30"/>
  <c r="O30" s="1"/>
  <c r="O28"/>
  <c r="J21" l="1"/>
  <c r="K21"/>
  <c r="I21"/>
  <c r="J20"/>
  <c r="M20"/>
  <c r="J19"/>
  <c r="J18"/>
  <c r="J17"/>
  <c r="J16"/>
  <c r="J15"/>
  <c r="J14"/>
  <c r="J13"/>
  <c r="J12"/>
  <c r="J11"/>
  <c r="J10"/>
  <c r="J9"/>
  <c r="L8"/>
  <c r="N8"/>
  <c r="N12"/>
  <c r="L19"/>
  <c r="N19"/>
  <c r="L20"/>
  <c r="J8"/>
  <c r="I7"/>
  <c r="J7"/>
  <c r="H8"/>
  <c r="M8" s="1"/>
  <c r="H9"/>
  <c r="M9" s="1"/>
  <c r="H10"/>
  <c r="H11"/>
  <c r="L11" s="1"/>
  <c r="H12"/>
  <c r="L12" s="1"/>
  <c r="H13"/>
  <c r="L13" s="1"/>
  <c r="H14"/>
  <c r="M14" s="1"/>
  <c r="H15"/>
  <c r="M15" s="1"/>
  <c r="H16"/>
  <c r="M16" s="1"/>
  <c r="H17"/>
  <c r="L17" s="1"/>
  <c r="H18"/>
  <c r="L18" s="1"/>
  <c r="H19"/>
  <c r="M19" s="1"/>
  <c r="H20"/>
  <c r="N20" s="1"/>
  <c r="H21"/>
  <c r="M21" s="1"/>
  <c r="H22"/>
  <c r="M22" s="1"/>
  <c r="H7"/>
  <c r="M7" s="1"/>
  <c r="L22" l="1"/>
  <c r="N22"/>
  <c r="O8"/>
  <c r="L7"/>
  <c r="O7" s="1"/>
  <c r="N7"/>
  <c r="N15"/>
  <c r="L9"/>
  <c r="M17"/>
  <c r="L15"/>
  <c r="N9"/>
  <c r="L21"/>
  <c r="N21"/>
  <c r="O21" s="1"/>
  <c r="O20"/>
  <c r="O19"/>
  <c r="N18"/>
  <c r="M18"/>
  <c r="N17"/>
  <c r="O17" s="1"/>
  <c r="N16"/>
  <c r="L16"/>
  <c r="O15"/>
  <c r="N14"/>
  <c r="L14"/>
  <c r="O14" s="1"/>
  <c r="N13"/>
  <c r="M13"/>
  <c r="O13" s="1"/>
  <c r="M12"/>
  <c r="O12" s="1"/>
  <c r="M11"/>
  <c r="N11"/>
  <c r="M10"/>
  <c r="N10"/>
  <c r="L10"/>
  <c r="O22" l="1"/>
  <c r="O9"/>
  <c r="O11"/>
  <c r="O16"/>
  <c r="O18"/>
  <c r="O10"/>
</calcChain>
</file>

<file path=xl/sharedStrings.xml><?xml version="1.0" encoding="utf-8"?>
<sst xmlns="http://schemas.openxmlformats.org/spreadsheetml/2006/main" count="34" uniqueCount="31">
  <si>
    <t>october/октомври</t>
  </si>
  <si>
    <t>november/ноември</t>
  </si>
  <si>
    <t>december/декември</t>
  </si>
  <si>
    <t>january/януари</t>
  </si>
  <si>
    <t>february/февруари</t>
  </si>
  <si>
    <t>march/март</t>
  </si>
  <si>
    <t>april/април</t>
  </si>
  <si>
    <t>may/май</t>
  </si>
  <si>
    <t>june/юни</t>
  </si>
  <si>
    <t>july/юли</t>
  </si>
  <si>
    <t>august/август</t>
  </si>
  <si>
    <t>september/септември</t>
  </si>
  <si>
    <t>GCV **</t>
  </si>
  <si>
    <t>Представителна калоричност / Representative calorific value*</t>
  </si>
  <si>
    <t>* Съгласно Методика за превръщане на измерените  количества природен газ от единици в обем в енергийни единици/According to Methodology for conversion of the measured quantities in volume units into energy units</t>
  </si>
  <si>
    <t>GCV***</t>
  </si>
  <si>
    <t>GCV****</t>
  </si>
  <si>
    <r>
      <t xml:space="preserve">GCV** – Представителна калоричност / Representative calorific value
 Калорична стойност, горна граница на топлина на изгаряне на природния газ при референтна температура 25 </t>
    </r>
    <r>
      <rPr>
        <vertAlign val="superscript"/>
        <sz val="11"/>
        <color theme="1"/>
        <rFont val="Tahoma"/>
        <family val="2"/>
        <charset val="204"/>
      </rPr>
      <t>о</t>
    </r>
    <r>
      <rPr>
        <sz val="11"/>
        <color theme="1"/>
        <rFont val="Tahoma"/>
        <family val="2"/>
        <charset val="204"/>
      </rPr>
      <t xml:space="preserve">С /20 </t>
    </r>
    <r>
      <rPr>
        <vertAlign val="superscript"/>
        <sz val="11"/>
        <color theme="1"/>
        <rFont val="Tahoma"/>
        <family val="2"/>
        <charset val="204"/>
      </rPr>
      <t>о</t>
    </r>
    <r>
      <rPr>
        <sz val="11"/>
        <color theme="1"/>
        <rFont val="Tahoma"/>
        <family val="2"/>
        <charset val="204"/>
      </rPr>
      <t>С, kWh/m</t>
    </r>
    <r>
      <rPr>
        <vertAlign val="superscript"/>
        <sz val="11"/>
        <color theme="1"/>
        <rFont val="Tahoma"/>
        <family val="2"/>
        <charset val="204"/>
      </rPr>
      <t xml:space="preserve">3 </t>
    </r>
    <r>
      <rPr>
        <sz val="11"/>
        <color theme="1"/>
        <rFont val="Tahoma"/>
        <family val="2"/>
        <charset val="204"/>
      </rPr>
      <t xml:space="preserve">/Gross calorific value at (25⁰ C/20⁰ C) </t>
    </r>
  </si>
  <si>
    <t>MWh</t>
  </si>
  <si>
    <t>Стойност</t>
  </si>
  <si>
    <t>Стойност капацитет</t>
  </si>
  <si>
    <t>Стойност пренос</t>
  </si>
  <si>
    <t>х,н,к,м,</t>
  </si>
  <si>
    <t>цена на х,н,к,м,</t>
  </si>
  <si>
    <t>цена на капацитет на х,н,к,м,</t>
  </si>
  <si>
    <t>цена пренос на х,н,к,м,</t>
  </si>
  <si>
    <t>Обща цена на х,н,к,м,</t>
  </si>
  <si>
    <t>GCV*** -"За определяне на енергийната стойност на количествата природен газ в режим на добив от ПГХ Чирен, се използва представителна калоричност, изчислена на база използваните в режим на нагнетяване представителни калоричности, средно претеглени по месечните количества в енергийни единици, при условие че има сключен договор за съхранение, съгласно който се заявяват и разпределят количествата в енергийни единици,/
To determine the energy value of the natural gas quantities in withdrawal regime of Chiren UGS, a representative calorific value is used which is calculated on the basis of the representative calorific values used in injection regime, average weighted by the monthly quantities in energy units, provided that a storage contract has been concluded according to which quantities are nominated and allocated in energy units,</t>
  </si>
  <si>
    <t>GCV**** - За определяне на енергийната стойност на количествата природен газ в режим на нагнетяване в ПГХ Чирен,/ To determine the energy value of the natural gas quantities in injection regime in Chiren UGS,</t>
  </si>
  <si>
    <t>Средно  2019</t>
  </si>
  <si>
    <t>Mесец/Month 2019-2020</t>
  </si>
</sst>
</file>

<file path=xl/styles.xml><?xml version="1.0" encoding="utf-8"?>
<styleSheet xmlns="http://schemas.openxmlformats.org/spreadsheetml/2006/main">
  <numFmts count="1">
    <numFmt numFmtId="164" formatCode="#,##0.000"/>
  </numFmts>
  <fonts count="8">
    <font>
      <sz val="11"/>
      <color theme="1"/>
      <name val="Calibri"/>
      <family val="2"/>
      <charset val="204"/>
      <scheme val="minor"/>
    </font>
    <font>
      <sz val="11"/>
      <color theme="1"/>
      <name val="Tahoma"/>
      <family val="2"/>
      <charset val="204"/>
    </font>
    <font>
      <vertAlign val="superscript"/>
      <sz val="11"/>
      <color theme="1"/>
      <name val="Tahoma"/>
      <family val="2"/>
      <charset val="204"/>
    </font>
    <font>
      <sz val="11"/>
      <color theme="1"/>
      <name val="Calibri Light"/>
      <family val="2"/>
      <charset val="204"/>
      <scheme val="major"/>
    </font>
    <font>
      <b/>
      <sz val="11"/>
      <color theme="1"/>
      <name val="Tahoma"/>
      <family val="2"/>
      <charset val="204"/>
    </font>
    <font>
      <sz val="11"/>
      <color rgb="FF000000"/>
      <name val="Tahoma"/>
      <family val="2"/>
      <charset val="204"/>
    </font>
    <font>
      <b/>
      <sz val="11"/>
      <color theme="0"/>
      <name val="Tahoma"/>
      <family val="2"/>
      <charset val="204"/>
    </font>
    <font>
      <b/>
      <sz val="11"/>
      <color theme="1"/>
      <name val="Calibri Light"/>
      <family val="2"/>
      <charset val="204"/>
      <scheme val="major"/>
    </font>
  </fonts>
  <fills count="5">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3" fillId="0" borderId="0" xfId="0" applyFont="1"/>
    <xf numFmtId="0" fontId="3" fillId="0" borderId="0" xfId="0" applyFont="1" applyBorder="1" applyAlignment="1">
      <alignment horizontal="center" wrapText="1"/>
    </xf>
    <xf numFmtId="0" fontId="4" fillId="0" borderId="1" xfId="0" applyFont="1" applyBorder="1"/>
    <xf numFmtId="0" fontId="4" fillId="0" borderId="1" xfId="0" applyFont="1" applyBorder="1" applyAlignment="1">
      <alignment horizontal="center" vertical="center"/>
    </xf>
    <xf numFmtId="0" fontId="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xf>
    <xf numFmtId="0" fontId="1" fillId="0" borderId="1" xfId="0" applyFont="1" applyBorder="1"/>
    <xf numFmtId="0" fontId="5" fillId="0" borderId="0" xfId="0" applyFont="1" applyBorder="1" applyAlignment="1">
      <alignment vertical="center"/>
    </xf>
    <xf numFmtId="0" fontId="1" fillId="0" borderId="0" xfId="0" applyFont="1" applyBorder="1" applyAlignment="1">
      <alignment horizontal="center" vertical="center"/>
    </xf>
    <xf numFmtId="49" fontId="1" fillId="0" borderId="1" xfId="0" applyNumberFormat="1" applyFont="1" applyBorder="1" applyAlignment="1">
      <alignment horizontal="center" vertical="center"/>
    </xf>
    <xf numFmtId="0" fontId="1" fillId="0" borderId="0" xfId="0" applyFont="1" applyBorder="1" applyAlignment="1">
      <alignment horizontal="center"/>
    </xf>
    <xf numFmtId="0" fontId="1" fillId="0" borderId="0" xfId="0" applyFont="1" applyBorder="1"/>
    <xf numFmtId="0" fontId="3" fillId="0" borderId="0" xfId="0" applyFont="1" applyAlignment="1">
      <alignment wrapText="1"/>
    </xf>
    <xf numFmtId="0" fontId="7" fillId="3" borderId="1" xfId="0" applyFont="1" applyFill="1" applyBorder="1" applyAlignment="1">
      <alignment wrapText="1"/>
    </xf>
    <xf numFmtId="0" fontId="3" fillId="3" borderId="1" xfId="0" applyFont="1" applyFill="1" applyBorder="1"/>
    <xf numFmtId="164" fontId="3" fillId="3" borderId="1" xfId="0" applyNumberFormat="1" applyFont="1" applyFill="1" applyBorder="1"/>
    <xf numFmtId="4" fontId="3" fillId="3" borderId="1" xfId="0" applyNumberFormat="1" applyFont="1" applyFill="1" applyBorder="1"/>
    <xf numFmtId="4" fontId="7" fillId="3" borderId="1" xfId="0" applyNumberFormat="1" applyFont="1" applyFill="1" applyBorder="1"/>
    <xf numFmtId="0" fontId="1" fillId="0" borderId="0" xfId="0" applyFont="1" applyAlignment="1">
      <alignment horizontal="left"/>
    </xf>
    <xf numFmtId="0" fontId="1" fillId="0" borderId="0" xfId="0" applyFont="1" applyAlignment="1">
      <alignment horizontal="left" vertical="center"/>
    </xf>
    <xf numFmtId="0" fontId="3" fillId="0" borderId="0" xfId="0" applyFont="1" applyAlignment="1">
      <alignment horizontal="left"/>
    </xf>
    <xf numFmtId="0" fontId="7" fillId="0" borderId="0" xfId="0" applyFont="1"/>
    <xf numFmtId="0" fontId="3" fillId="4" borderId="0" xfId="0" applyFont="1" applyFill="1"/>
    <xf numFmtId="0" fontId="3" fillId="0" borderId="1" xfId="0" applyFont="1" applyBorder="1"/>
    <xf numFmtId="0" fontId="1" fillId="0" borderId="1" xfId="0" applyFont="1" applyFill="1" applyBorder="1" applyAlignment="1">
      <alignment horizontal="center"/>
    </xf>
    <xf numFmtId="17" fontId="5" fillId="0" borderId="1" xfId="0" applyNumberFormat="1" applyFont="1" applyBorder="1" applyAlignment="1">
      <alignment vertical="center"/>
    </xf>
    <xf numFmtId="0" fontId="6" fillId="2" borderId="0" xfId="0" applyFont="1" applyFill="1" applyBorder="1" applyAlignment="1">
      <alignment horizontal="center" wrapText="1"/>
    </xf>
    <xf numFmtId="0" fontId="1" fillId="0" borderId="0" xfId="0" applyFont="1" applyAlignment="1">
      <alignment horizontal="left" vertical="center" wrapText="1"/>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43"/>
  <sheetViews>
    <sheetView tabSelected="1" workbookViewId="0">
      <selection activeCell="O32" sqref="C3:O32"/>
    </sheetView>
  </sheetViews>
  <sheetFormatPr defaultRowHeight="15"/>
  <cols>
    <col min="1" max="2" width="9.140625" style="1"/>
    <col min="3" max="3" width="29.28515625" style="1" bestFit="1" customWidth="1"/>
    <col min="4" max="4" width="10" style="1" customWidth="1"/>
    <col min="5" max="5" width="0" style="1" hidden="1" customWidth="1"/>
    <col min="6" max="6" width="11.42578125" style="1" hidden="1" customWidth="1"/>
    <col min="7" max="16" width="11.7109375" style="1" customWidth="1"/>
    <col min="17" max="16384" width="9.140625" style="1"/>
  </cols>
  <sheetData>
    <row r="1" spans="1:16" ht="15" customHeight="1">
      <c r="A1" s="28" t="s">
        <v>13</v>
      </c>
      <c r="B1" s="28"/>
      <c r="C1" s="28"/>
      <c r="D1" s="28"/>
      <c r="E1" s="28"/>
      <c r="F1" s="28"/>
    </row>
    <row r="2" spans="1:16">
      <c r="B2" s="2"/>
      <c r="C2" s="2"/>
      <c r="D2" s="2"/>
      <c r="E2" s="2"/>
    </row>
    <row r="3" spans="1:16" ht="32.25" customHeight="1">
      <c r="C3" s="3" t="s">
        <v>30</v>
      </c>
      <c r="D3" s="4" t="s">
        <v>12</v>
      </c>
      <c r="E3" s="4" t="s">
        <v>15</v>
      </c>
      <c r="F3" s="3" t="s">
        <v>16</v>
      </c>
      <c r="G3" s="15" t="s">
        <v>18</v>
      </c>
      <c r="H3" s="15" t="s">
        <v>22</v>
      </c>
      <c r="I3" s="15" t="s">
        <v>19</v>
      </c>
      <c r="J3" s="15" t="s">
        <v>20</v>
      </c>
      <c r="K3" s="15" t="s">
        <v>21</v>
      </c>
      <c r="L3" s="15" t="s">
        <v>23</v>
      </c>
      <c r="M3" s="15" t="s">
        <v>24</v>
      </c>
      <c r="N3" s="15" t="s">
        <v>25</v>
      </c>
      <c r="O3" s="15" t="s">
        <v>26</v>
      </c>
      <c r="P3" s="14"/>
    </row>
    <row r="4" spans="1:16" hidden="1">
      <c r="C4" s="5" t="s">
        <v>0</v>
      </c>
      <c r="D4" s="6">
        <v>10.583</v>
      </c>
      <c r="E4" s="6">
        <v>10.619</v>
      </c>
      <c r="F4" s="6"/>
      <c r="G4" s="16"/>
      <c r="H4" s="16"/>
      <c r="I4" s="16"/>
      <c r="J4" s="16"/>
      <c r="K4" s="16"/>
      <c r="L4" s="16"/>
      <c r="M4" s="16"/>
      <c r="N4" s="16"/>
      <c r="O4" s="16"/>
    </row>
    <row r="5" spans="1:16" hidden="1">
      <c r="C5" s="5" t="s">
        <v>1</v>
      </c>
      <c r="D5" s="7">
        <v>10.61</v>
      </c>
      <c r="E5" s="6">
        <v>10.619</v>
      </c>
      <c r="F5" s="6"/>
      <c r="G5" s="16"/>
      <c r="H5" s="16"/>
      <c r="I5" s="16"/>
      <c r="J5" s="16"/>
      <c r="K5" s="16"/>
      <c r="L5" s="16"/>
      <c r="M5" s="16"/>
      <c r="N5" s="16"/>
      <c r="O5" s="16"/>
    </row>
    <row r="6" spans="1:16" hidden="1">
      <c r="C6" s="5" t="s">
        <v>2</v>
      </c>
      <c r="D6" s="6">
        <v>10.565</v>
      </c>
      <c r="E6" s="6">
        <v>10.619</v>
      </c>
      <c r="F6" s="6"/>
      <c r="G6" s="16"/>
      <c r="H6" s="16"/>
      <c r="I6" s="16"/>
      <c r="J6" s="16"/>
      <c r="K6" s="16"/>
      <c r="L6" s="16"/>
      <c r="M6" s="16"/>
      <c r="N6" s="16"/>
      <c r="O6" s="16"/>
    </row>
    <row r="7" spans="1:16" hidden="1">
      <c r="C7" s="5" t="s">
        <v>3</v>
      </c>
      <c r="D7" s="7">
        <v>10.563000000000001</v>
      </c>
      <c r="E7" s="6">
        <v>10.619</v>
      </c>
      <c r="F7" s="6"/>
      <c r="G7" s="17">
        <v>5229.4129999999996</v>
      </c>
      <c r="H7" s="18">
        <f>G7/D7</f>
        <v>495.06891981444659</v>
      </c>
      <c r="I7" s="18">
        <f>174610.1</f>
        <v>174610.1</v>
      </c>
      <c r="J7" s="18">
        <f>478.62+4881.74+7976.77+6865.52+611.28</f>
        <v>20813.93</v>
      </c>
      <c r="K7" s="18">
        <v>2283.6799999999998</v>
      </c>
      <c r="L7" s="18">
        <f>I7/H7</f>
        <v>352.69856985860559</v>
      </c>
      <c r="M7" s="18">
        <f>J7/H7</f>
        <v>42.042489776577227</v>
      </c>
      <c r="N7" s="18">
        <f>K7/H7</f>
        <v>4.6128526930269231</v>
      </c>
      <c r="O7" s="19">
        <f>L7+M7+N7</f>
        <v>399.35391232820973</v>
      </c>
    </row>
    <row r="8" spans="1:16" hidden="1">
      <c r="C8" s="5" t="s">
        <v>4</v>
      </c>
      <c r="D8" s="7">
        <v>10.565</v>
      </c>
      <c r="E8" s="6">
        <v>10.619</v>
      </c>
      <c r="F8" s="6"/>
      <c r="G8" s="17">
        <v>4353.2039999999997</v>
      </c>
      <c r="H8" s="18">
        <f t="shared" ref="H8:H32" si="0">G8/D8</f>
        <v>412.04013251301467</v>
      </c>
      <c r="I8" s="18">
        <v>145353.48000000001</v>
      </c>
      <c r="J8" s="18">
        <f>432.3+4409.31+3806.62+7393.89+1719.97</f>
        <v>17762.09</v>
      </c>
      <c r="K8" s="18">
        <v>1901.04</v>
      </c>
      <c r="L8" s="18">
        <f t="shared" ref="L8:L32" si="1">I8/H8</f>
        <v>352.76534621396104</v>
      </c>
      <c r="M8" s="18">
        <f t="shared" ref="M8:M32" si="2">J8/H8</f>
        <v>43.107669856501097</v>
      </c>
      <c r="N8" s="18">
        <f t="shared" ref="N8:N32" si="3">K8/H8</f>
        <v>4.6137253388538646</v>
      </c>
      <c r="O8" s="19">
        <f t="shared" ref="O8:O32" si="4">L8+M8+N8</f>
        <v>400.48674140931598</v>
      </c>
    </row>
    <row r="9" spans="1:16" hidden="1">
      <c r="C9" s="5" t="s">
        <v>5</v>
      </c>
      <c r="D9" s="7">
        <v>10.554</v>
      </c>
      <c r="E9" s="6">
        <v>10.619</v>
      </c>
      <c r="F9" s="6"/>
      <c r="G9" s="17">
        <v>4008.8119999999999</v>
      </c>
      <c r="H9" s="18">
        <f t="shared" si="0"/>
        <v>379.83816562440779</v>
      </c>
      <c r="I9" s="18">
        <v>133854.23000000001</v>
      </c>
      <c r="J9" s="18">
        <f>478.62+4881.74+12597.7+1549.07</f>
        <v>19507.13</v>
      </c>
      <c r="K9" s="18">
        <v>1750.65</v>
      </c>
      <c r="L9" s="18">
        <f t="shared" si="1"/>
        <v>352.3980529443636</v>
      </c>
      <c r="M9" s="18">
        <f t="shared" si="2"/>
        <v>51.35642430226212</v>
      </c>
      <c r="N9" s="18">
        <f t="shared" si="3"/>
        <v>4.6089365378072111</v>
      </c>
      <c r="O9" s="19">
        <f t="shared" si="4"/>
        <v>408.36341378443291</v>
      </c>
    </row>
    <row r="10" spans="1:16" hidden="1">
      <c r="C10" s="5" t="s">
        <v>6</v>
      </c>
      <c r="D10" s="7">
        <v>10.538</v>
      </c>
      <c r="E10" s="8"/>
      <c r="F10" s="6">
        <v>10.529</v>
      </c>
      <c r="G10" s="17">
        <v>1714.3440000000001</v>
      </c>
      <c r="H10" s="18">
        <f t="shared" si="0"/>
        <v>162.68210286581893</v>
      </c>
      <c r="I10" s="18">
        <v>58356.27</v>
      </c>
      <c r="J10" s="18">
        <f>463.18+494.04+1914.43+618.5+100.84</f>
        <v>3590.9900000000002</v>
      </c>
      <c r="K10" s="18">
        <v>748.65</v>
      </c>
      <c r="L10" s="18">
        <f t="shared" si="1"/>
        <v>358.71352147526983</v>
      </c>
      <c r="M10" s="18">
        <f t="shared" si="2"/>
        <v>22.073663523773529</v>
      </c>
      <c r="N10" s="18">
        <f t="shared" si="3"/>
        <v>4.6019198597247692</v>
      </c>
      <c r="O10" s="19">
        <f t="shared" si="4"/>
        <v>385.38910485876812</v>
      </c>
    </row>
    <row r="11" spans="1:16" hidden="1">
      <c r="C11" s="5" t="s">
        <v>7</v>
      </c>
      <c r="D11" s="7">
        <v>10.513999999999999</v>
      </c>
      <c r="E11" s="8"/>
      <c r="F11" s="6">
        <v>10.529</v>
      </c>
      <c r="G11" s="17">
        <v>1362.9</v>
      </c>
      <c r="H11" s="18">
        <f t="shared" si="0"/>
        <v>129.62716378162452</v>
      </c>
      <c r="I11" s="18">
        <v>46393.120000000003</v>
      </c>
      <c r="J11" s="18">
        <f>478.62+510.51+606.26+1409.21+50.87</f>
        <v>3055.47</v>
      </c>
      <c r="K11" s="18">
        <v>595.17999999999995</v>
      </c>
      <c r="L11" s="18">
        <f t="shared" si="1"/>
        <v>357.89659085772979</v>
      </c>
      <c r="M11" s="18">
        <f t="shared" si="2"/>
        <v>23.571216949152539</v>
      </c>
      <c r="N11" s="18">
        <f t="shared" si="3"/>
        <v>4.5914759116589616</v>
      </c>
      <c r="O11" s="19">
        <f t="shared" si="4"/>
        <v>386.05928371854128</v>
      </c>
    </row>
    <row r="12" spans="1:16" hidden="1">
      <c r="C12" s="5" t="s">
        <v>8</v>
      </c>
      <c r="D12" s="26">
        <v>10.538</v>
      </c>
      <c r="E12" s="8"/>
      <c r="F12" s="6">
        <v>10.553000000000001</v>
      </c>
      <c r="G12" s="17">
        <v>484.56700000000001</v>
      </c>
      <c r="H12" s="18">
        <f t="shared" si="0"/>
        <v>45.982824065287531</v>
      </c>
      <c r="I12" s="18">
        <v>16494.66</v>
      </c>
      <c r="J12" s="18">
        <f>463.18+494.04+105.08+124.52</f>
        <v>1186.82</v>
      </c>
      <c r="K12" s="18">
        <v>211.61</v>
      </c>
      <c r="L12" s="18">
        <f t="shared" si="1"/>
        <v>358.71350521186957</v>
      </c>
      <c r="M12" s="18">
        <f t="shared" si="2"/>
        <v>25.810072002426907</v>
      </c>
      <c r="N12" s="18">
        <f t="shared" si="3"/>
        <v>4.601935707549214</v>
      </c>
      <c r="O12" s="19">
        <f t="shared" si="4"/>
        <v>389.12551292184571</v>
      </c>
    </row>
    <row r="13" spans="1:16" hidden="1">
      <c r="C13" s="5" t="s">
        <v>9</v>
      </c>
      <c r="D13" s="7">
        <v>10.621</v>
      </c>
      <c r="E13" s="8"/>
      <c r="F13" s="6">
        <v>10.635999999999999</v>
      </c>
      <c r="G13" s="17">
        <v>619.11099999999999</v>
      </c>
      <c r="H13" s="18">
        <f t="shared" si="0"/>
        <v>58.291215516429709</v>
      </c>
      <c r="I13" s="18">
        <v>23396.2</v>
      </c>
      <c r="J13" s="18">
        <f>478.62+797.67+39.49+64.77</f>
        <v>1380.55</v>
      </c>
      <c r="K13" s="18">
        <v>270.37</v>
      </c>
      <c r="L13" s="18">
        <f t="shared" si="1"/>
        <v>401.36750954190774</v>
      </c>
      <c r="M13" s="18">
        <f t="shared" si="2"/>
        <v>23.683671506401922</v>
      </c>
      <c r="N13" s="18">
        <f t="shared" si="3"/>
        <v>4.6382632032058879</v>
      </c>
      <c r="O13" s="19">
        <f t="shared" si="4"/>
        <v>429.68944425151557</v>
      </c>
    </row>
    <row r="14" spans="1:16" hidden="1">
      <c r="C14" s="5" t="s">
        <v>10</v>
      </c>
      <c r="D14" s="6">
        <v>10.577</v>
      </c>
      <c r="E14" s="8"/>
      <c r="F14" s="6">
        <v>10.648</v>
      </c>
      <c r="G14" s="17">
        <v>538.47500000000002</v>
      </c>
      <c r="H14" s="18">
        <f t="shared" si="0"/>
        <v>50.909993381866315</v>
      </c>
      <c r="I14" s="18">
        <v>20348.97</v>
      </c>
      <c r="J14" s="18">
        <f>478.62+797.67+92.64+15.7</f>
        <v>1384.63</v>
      </c>
      <c r="K14" s="18">
        <v>235.15</v>
      </c>
      <c r="L14" s="18">
        <f t="shared" si="1"/>
        <v>399.70482508937278</v>
      </c>
      <c r="M14" s="18">
        <f t="shared" si="2"/>
        <v>27.197607149821255</v>
      </c>
      <c r="N14" s="18">
        <f t="shared" si="3"/>
        <v>4.6189359766005849</v>
      </c>
      <c r="O14" s="19">
        <f t="shared" si="4"/>
        <v>431.52136821579461</v>
      </c>
    </row>
    <row r="15" spans="1:16" hidden="1">
      <c r="C15" s="5" t="s">
        <v>11</v>
      </c>
      <c r="D15" s="6">
        <v>10.55</v>
      </c>
      <c r="E15" s="6"/>
      <c r="F15" s="6">
        <v>10.595000000000001</v>
      </c>
      <c r="G15" s="17">
        <v>617.91600000000005</v>
      </c>
      <c r="H15" s="18">
        <f t="shared" si="0"/>
        <v>58.570236966824645</v>
      </c>
      <c r="I15" s="18">
        <v>23351.05</v>
      </c>
      <c r="J15" s="18">
        <f>463.18+771.94+41.16+88.49+14.58</f>
        <v>1379.3500000000001</v>
      </c>
      <c r="K15" s="18">
        <v>269.83999999999997</v>
      </c>
      <c r="L15" s="18">
        <f t="shared" si="1"/>
        <v>398.68457444053882</v>
      </c>
      <c r="M15" s="18">
        <f t="shared" si="2"/>
        <v>23.550357168288247</v>
      </c>
      <c r="N15" s="18">
        <f t="shared" si="3"/>
        <v>4.6071181196149631</v>
      </c>
      <c r="O15" s="19">
        <f t="shared" si="4"/>
        <v>426.84204972844202</v>
      </c>
    </row>
    <row r="16" spans="1:16" hidden="1">
      <c r="C16" s="5" t="s">
        <v>0</v>
      </c>
      <c r="D16" s="11">
        <v>10.54</v>
      </c>
      <c r="E16" s="6"/>
      <c r="F16" s="11">
        <v>10.6</v>
      </c>
      <c r="G16" s="17">
        <v>757.90300000000002</v>
      </c>
      <c r="H16" s="18">
        <f t="shared" si="0"/>
        <v>71.907305502846313</v>
      </c>
      <c r="I16" s="18">
        <v>32802.04</v>
      </c>
      <c r="J16" s="18">
        <f>604.15+1017.27+419.51+43.94</f>
        <v>2084.87</v>
      </c>
      <c r="K16" s="18">
        <v>302.48</v>
      </c>
      <c r="L16" s="18">
        <f t="shared" si="1"/>
        <v>456.17117441150111</v>
      </c>
      <c r="M16" s="18">
        <f t="shared" si="2"/>
        <v>28.993855150329257</v>
      </c>
      <c r="N16" s="18">
        <f t="shared" si="3"/>
        <v>4.2065266927298079</v>
      </c>
      <c r="O16" s="19">
        <f t="shared" si="4"/>
        <v>489.37155625456018</v>
      </c>
    </row>
    <row r="17" spans="3:17" hidden="1">
      <c r="C17" s="5" t="s">
        <v>1</v>
      </c>
      <c r="D17" s="11">
        <v>10.55</v>
      </c>
      <c r="E17" s="6">
        <v>10.583</v>
      </c>
      <c r="F17" s="6"/>
      <c r="G17" s="17">
        <v>3263.39</v>
      </c>
      <c r="H17" s="18">
        <f t="shared" si="0"/>
        <v>309.32606635071085</v>
      </c>
      <c r="I17" s="18">
        <v>141239.51999999999</v>
      </c>
      <c r="J17" s="18">
        <f>584.66+984.46+3583.3+7122.83+671.48</f>
        <v>12946.73</v>
      </c>
      <c r="K17" s="18">
        <v>1302.42</v>
      </c>
      <c r="L17" s="18">
        <f t="shared" si="1"/>
        <v>456.60400258626771</v>
      </c>
      <c r="M17" s="18">
        <f t="shared" si="2"/>
        <v>41.854636283128897</v>
      </c>
      <c r="N17" s="18">
        <f t="shared" si="3"/>
        <v>4.2105083977091313</v>
      </c>
      <c r="O17" s="19">
        <f t="shared" si="4"/>
        <v>502.66914726710576</v>
      </c>
    </row>
    <row r="18" spans="3:17" hidden="1">
      <c r="C18" s="5" t="s">
        <v>2</v>
      </c>
      <c r="D18" s="11">
        <v>10.57</v>
      </c>
      <c r="E18" s="6">
        <v>10.583</v>
      </c>
      <c r="F18" s="6"/>
      <c r="G18" s="17">
        <v>5544.82</v>
      </c>
      <c r="H18" s="18">
        <f t="shared" si="0"/>
        <v>524.58088930936606</v>
      </c>
      <c r="I18" s="18">
        <v>239979.81</v>
      </c>
      <c r="J18" s="18">
        <f>604.15+1017.27+10816+7504.26+365.46</f>
        <v>20307.14</v>
      </c>
      <c r="K18" s="18">
        <v>2212.94</v>
      </c>
      <c r="L18" s="18">
        <f t="shared" si="1"/>
        <v>457.46960076251355</v>
      </c>
      <c r="M18" s="18">
        <f t="shared" si="2"/>
        <v>38.711170028963977</v>
      </c>
      <c r="N18" s="18">
        <f t="shared" si="3"/>
        <v>4.2184914568912975</v>
      </c>
      <c r="O18" s="19">
        <f t="shared" si="4"/>
        <v>500.39926224836881</v>
      </c>
    </row>
    <row r="19" spans="3:17">
      <c r="C19" s="27">
        <v>43466</v>
      </c>
      <c r="D19" s="7">
        <v>10.557</v>
      </c>
      <c r="E19" s="6">
        <v>10.583</v>
      </c>
      <c r="F19" s="6"/>
      <c r="G19" s="17">
        <v>5885.58</v>
      </c>
      <c r="H19" s="18">
        <f t="shared" si="0"/>
        <v>557.5049730036942</v>
      </c>
      <c r="I19" s="18">
        <v>263673.98</v>
      </c>
      <c r="J19" s="18">
        <f>16033.05+47.62+1746.65</f>
        <v>17827.32</v>
      </c>
      <c r="K19" s="18">
        <v>2348.9299999999998</v>
      </c>
      <c r="L19" s="18">
        <f t="shared" si="1"/>
        <v>472.95359282517609</v>
      </c>
      <c r="M19" s="18">
        <f t="shared" si="2"/>
        <v>31.976970364857841</v>
      </c>
      <c r="N19" s="18">
        <f t="shared" si="3"/>
        <v>4.2132897709316666</v>
      </c>
      <c r="O19" s="19">
        <f t="shared" si="4"/>
        <v>509.1438529609656</v>
      </c>
    </row>
    <row r="20" spans="3:17">
      <c r="C20" s="27">
        <v>43497</v>
      </c>
      <c r="D20" s="7">
        <v>10.54</v>
      </c>
      <c r="E20" s="6">
        <v>10.583</v>
      </c>
      <c r="F20" s="6"/>
      <c r="G20" s="17">
        <v>4901.2359999999999</v>
      </c>
      <c r="H20" s="18">
        <f t="shared" si="0"/>
        <v>465.0129032258065</v>
      </c>
      <c r="I20" s="18">
        <v>219575.37</v>
      </c>
      <c r="J20" s="18">
        <f>8870.77+1014.45+7207.98</f>
        <v>17093.2</v>
      </c>
      <c r="K20" s="18">
        <v>1956.08</v>
      </c>
      <c r="L20" s="18">
        <f t="shared" si="1"/>
        <v>472.19199397866163</v>
      </c>
      <c r="M20" s="18">
        <f t="shared" si="2"/>
        <v>36.75854988415167</v>
      </c>
      <c r="N20" s="18">
        <f t="shared" si="3"/>
        <v>4.2065069300886551</v>
      </c>
      <c r="O20" s="19">
        <f t="shared" si="4"/>
        <v>513.15705079290194</v>
      </c>
    </row>
    <row r="21" spans="3:17">
      <c r="C21" s="27">
        <v>43525</v>
      </c>
      <c r="D21" s="7">
        <v>10.53</v>
      </c>
      <c r="E21" s="6">
        <v>10.583</v>
      </c>
      <c r="F21" s="6"/>
      <c r="G21" s="17">
        <v>3943.7779999999998</v>
      </c>
      <c r="H21" s="18">
        <f t="shared" si="0"/>
        <v>374.52782526115863</v>
      </c>
      <c r="I21" s="18">
        <f>3943.778*44.8</f>
        <v>176681.25439999998</v>
      </c>
      <c r="J21" s="18">
        <f>8725+239.71+2417.15</f>
        <v>11381.859999999999</v>
      </c>
      <c r="K21" s="18">
        <f>3943.778*0.3991</f>
        <v>1573.9617997999999</v>
      </c>
      <c r="L21" s="18">
        <f t="shared" si="1"/>
        <v>471.74399999999991</v>
      </c>
      <c r="M21" s="18">
        <f t="shared" si="2"/>
        <v>30.389891570975845</v>
      </c>
      <c r="N21" s="18">
        <f t="shared" si="3"/>
        <v>4.2025229999999993</v>
      </c>
      <c r="O21" s="19">
        <f t="shared" si="4"/>
        <v>506.33641457097576</v>
      </c>
      <c r="Q21" s="24"/>
    </row>
    <row r="22" spans="3:17">
      <c r="C22" s="27">
        <v>43556</v>
      </c>
      <c r="D22" s="7">
        <v>10.545</v>
      </c>
      <c r="E22" s="8"/>
      <c r="F22" s="6">
        <v>10.54</v>
      </c>
      <c r="G22" s="17">
        <v>2970.3150000000001</v>
      </c>
      <c r="H22" s="18">
        <f t="shared" si="0"/>
        <v>281.67994310099573</v>
      </c>
      <c r="I22" s="18">
        <v>134169.13</v>
      </c>
      <c r="J22" s="18">
        <f>107.01+1859.06+ 3654.06</f>
        <v>5620.13</v>
      </c>
      <c r="K22" s="18">
        <v>1185.45</v>
      </c>
      <c r="L22" s="18">
        <f t="shared" si="1"/>
        <v>476.31765514768637</v>
      </c>
      <c r="M22" s="18">
        <f t="shared" si="2"/>
        <v>19.952183808787957</v>
      </c>
      <c r="N22" s="18">
        <f t="shared" si="3"/>
        <v>4.2084998560758713</v>
      </c>
      <c r="O22" s="19">
        <f t="shared" si="4"/>
        <v>500.47833881255019</v>
      </c>
    </row>
    <row r="23" spans="3:17">
      <c r="C23" s="27">
        <v>43586</v>
      </c>
      <c r="D23" s="7">
        <v>10.567</v>
      </c>
      <c r="E23" s="8"/>
      <c r="F23" s="6"/>
      <c r="G23" s="25">
        <v>946.48400000000004</v>
      </c>
      <c r="H23" s="18">
        <f t="shared" si="0"/>
        <v>89.569792751017317</v>
      </c>
      <c r="I23" s="25">
        <v>42752.68</v>
      </c>
      <c r="J23" s="25">
        <f>25.63+565.16+1900.13</f>
        <v>2490.92</v>
      </c>
      <c r="K23" s="25">
        <v>377.74</v>
      </c>
      <c r="L23" s="18">
        <f t="shared" si="1"/>
        <v>477.31136454498966</v>
      </c>
      <c r="M23" s="18">
        <f t="shared" si="2"/>
        <v>27.809822078344695</v>
      </c>
      <c r="N23" s="18">
        <f t="shared" si="3"/>
        <v>4.2172700013946356</v>
      </c>
      <c r="O23" s="19">
        <f t="shared" si="4"/>
        <v>509.33845662472896</v>
      </c>
    </row>
    <row r="24" spans="3:17">
      <c r="C24" s="27">
        <v>43617</v>
      </c>
      <c r="D24" s="7">
        <v>10.58</v>
      </c>
      <c r="E24" s="8"/>
      <c r="F24" s="6"/>
      <c r="G24" s="25">
        <v>898.74699999999996</v>
      </c>
      <c r="H24" s="18">
        <f t="shared" si="0"/>
        <v>84.947731568998108</v>
      </c>
      <c r="I24" s="25">
        <v>40596.400000000001</v>
      </c>
      <c r="J24" s="25">
        <f>186.04+1458.32+584.66</f>
        <v>2229.02</v>
      </c>
      <c r="K24" s="25">
        <v>358.69</v>
      </c>
      <c r="L24" s="18">
        <f t="shared" si="1"/>
        <v>477.89857657383004</v>
      </c>
      <c r="M24" s="18">
        <f t="shared" si="2"/>
        <v>26.239900216634936</v>
      </c>
      <c r="N24" s="18">
        <f t="shared" si="3"/>
        <v>4.2224788511116031</v>
      </c>
      <c r="O24" s="19">
        <f t="shared" si="4"/>
        <v>508.3609556415766</v>
      </c>
    </row>
    <row r="25" spans="3:17">
      <c r="C25" s="27">
        <v>43647</v>
      </c>
      <c r="D25" s="7">
        <v>10.615</v>
      </c>
      <c r="E25" s="8"/>
      <c r="F25" s="6"/>
      <c r="G25" s="25">
        <v>944.279</v>
      </c>
      <c r="H25" s="18">
        <f t="shared" si="0"/>
        <v>88.957041921808752</v>
      </c>
      <c r="I25" s="25">
        <v>42398.13</v>
      </c>
      <c r="J25" s="25">
        <f>94.21+1225.81+730.84</f>
        <v>2050.86</v>
      </c>
      <c r="K25" s="25">
        <v>376.86</v>
      </c>
      <c r="L25" s="18">
        <f t="shared" si="1"/>
        <v>476.61353260000487</v>
      </c>
      <c r="M25" s="18">
        <f t="shared" si="2"/>
        <v>23.054498617463697</v>
      </c>
      <c r="N25" s="18">
        <f t="shared" si="3"/>
        <v>4.2364268399487868</v>
      </c>
      <c r="O25" s="19">
        <f t="shared" si="4"/>
        <v>503.90445805741734</v>
      </c>
    </row>
    <row r="26" spans="3:17">
      <c r="C26" s="27">
        <v>43678</v>
      </c>
      <c r="D26" s="7">
        <v>10.64</v>
      </c>
      <c r="E26" s="8"/>
      <c r="F26" s="6"/>
      <c r="G26" s="25">
        <v>801.66200000000003</v>
      </c>
      <c r="H26" s="18">
        <f t="shared" si="0"/>
        <v>75.344172932330821</v>
      </c>
      <c r="I26" s="25">
        <v>35994.620000000003</v>
      </c>
      <c r="J26" s="25">
        <f>26.29+767.5+876.99</f>
        <v>1670.78</v>
      </c>
      <c r="K26" s="25">
        <v>319.94</v>
      </c>
      <c r="L26" s="18">
        <f t="shared" si="1"/>
        <v>477.73594956477922</v>
      </c>
      <c r="M26" s="18">
        <f t="shared" si="2"/>
        <v>22.175304804269132</v>
      </c>
      <c r="N26" s="18">
        <f t="shared" si="3"/>
        <v>4.2463801452482475</v>
      </c>
      <c r="O26" s="19">
        <f t="shared" si="4"/>
        <v>504.1576345142966</v>
      </c>
    </row>
    <row r="27" spans="3:17">
      <c r="C27" s="27">
        <v>43709</v>
      </c>
      <c r="D27" s="7">
        <v>10.61</v>
      </c>
      <c r="E27" s="8"/>
      <c r="F27" s="6"/>
      <c r="G27" s="25">
        <v>160.94499999999999</v>
      </c>
      <c r="H27" s="18">
        <f t="shared" si="0"/>
        <v>15.169180018850142</v>
      </c>
      <c r="I27" s="25">
        <v>7226.43</v>
      </c>
      <c r="J27" s="25">
        <f>59.89+584.66</f>
        <v>644.54999999999995</v>
      </c>
      <c r="K27" s="25">
        <v>64.23</v>
      </c>
      <c r="L27" s="18">
        <f t="shared" si="1"/>
        <v>476.38896703842926</v>
      </c>
      <c r="M27" s="18">
        <f t="shared" si="2"/>
        <v>42.490760818913287</v>
      </c>
      <c r="N27" s="18">
        <f t="shared" si="3"/>
        <v>4.2342433750660167</v>
      </c>
      <c r="O27" s="19">
        <f t="shared" si="4"/>
        <v>523.11397123240863</v>
      </c>
    </row>
    <row r="28" spans="3:17">
      <c r="C28" s="27">
        <v>43739</v>
      </c>
      <c r="D28" s="7">
        <v>10.62</v>
      </c>
      <c r="E28" s="8"/>
      <c r="F28" s="6"/>
      <c r="G28" s="17">
        <v>5.4909999999999997</v>
      </c>
      <c r="H28" s="18">
        <f t="shared" si="0"/>
        <v>0.51704331450094165</v>
      </c>
      <c r="I28" s="18">
        <v>246.27</v>
      </c>
      <c r="J28" s="18">
        <f>1300.42</f>
        <v>1300.42</v>
      </c>
      <c r="K28" s="18">
        <v>2.69</v>
      </c>
      <c r="L28" s="18">
        <f t="shared" si="1"/>
        <v>476.30438900018208</v>
      </c>
      <c r="M28" s="18">
        <f t="shared" si="2"/>
        <v>2515.1084319796028</v>
      </c>
      <c r="N28" s="18">
        <f t="shared" si="3"/>
        <v>5.2026588963758877</v>
      </c>
      <c r="O28" s="19">
        <f t="shared" si="4"/>
        <v>2996.6154798761609</v>
      </c>
    </row>
    <row r="29" spans="3:17">
      <c r="C29" s="27">
        <v>43770</v>
      </c>
      <c r="D29" s="7">
        <v>10.605</v>
      </c>
      <c r="E29" s="8"/>
      <c r="F29" s="6"/>
      <c r="G29" s="17">
        <v>1935.9839999999999</v>
      </c>
      <c r="H29" s="18">
        <f t="shared" si="0"/>
        <v>182.55388967468173</v>
      </c>
      <c r="I29" s="18">
        <v>86828.88</v>
      </c>
      <c r="J29" s="18">
        <f>8282.22+208.53+684.47</f>
        <v>9175.2199999999993</v>
      </c>
      <c r="K29" s="18">
        <v>949.6</v>
      </c>
      <c r="L29" s="18">
        <f t="shared" si="1"/>
        <v>475.63423685319725</v>
      </c>
      <c r="M29" s="18">
        <f t="shared" si="2"/>
        <v>50.260336913941444</v>
      </c>
      <c r="N29" s="18">
        <f t="shared" si="3"/>
        <v>5.2017516673691526</v>
      </c>
      <c r="O29" s="19">
        <f t="shared" si="4"/>
        <v>531.09632543450789</v>
      </c>
    </row>
    <row r="30" spans="3:17">
      <c r="C30" s="27">
        <v>43800</v>
      </c>
      <c r="D30" s="7">
        <v>10.585000000000001</v>
      </c>
      <c r="E30" s="8"/>
      <c r="F30" s="6"/>
      <c r="G30" s="17">
        <v>4951.518</v>
      </c>
      <c r="H30" s="18">
        <f t="shared" si="0"/>
        <v>467.786301369863</v>
      </c>
      <c r="I30" s="18">
        <v>222075.58</v>
      </c>
      <c r="J30" s="18">
        <f>973.27+1899.54+14334.43</f>
        <v>17207.240000000002</v>
      </c>
      <c r="K30" s="18">
        <v>2428.7199999999998</v>
      </c>
      <c r="L30" s="18">
        <f t="shared" si="1"/>
        <v>474.73724508322499</v>
      </c>
      <c r="M30" s="18">
        <f t="shared" si="2"/>
        <v>36.784403368825487</v>
      </c>
      <c r="N30" s="18">
        <f t="shared" si="3"/>
        <v>5.1919433999836011</v>
      </c>
      <c r="O30" s="19">
        <f t="shared" si="4"/>
        <v>516.71359185203414</v>
      </c>
    </row>
    <row r="31" spans="3:17">
      <c r="C31" s="27">
        <v>43831</v>
      </c>
      <c r="D31" s="7">
        <v>10.58</v>
      </c>
      <c r="E31" s="8"/>
      <c r="F31" s="6"/>
      <c r="G31" s="17">
        <f>3782.127+1712.966</f>
        <v>5495.0929999999998</v>
      </c>
      <c r="H31" s="18">
        <f t="shared" si="0"/>
        <v>519.38497164461251</v>
      </c>
      <c r="I31" s="18">
        <f>166564.87+58882.91+14110.43-726.84</f>
        <v>238831.37</v>
      </c>
      <c r="J31" s="18">
        <f>479.77+390.76+13627.17+2068.04+157.97</f>
        <v>16723.710000000003</v>
      </c>
      <c r="K31" s="18">
        <f>1855.13+537.87</f>
        <v>2393</v>
      </c>
      <c r="L31" s="18">
        <f t="shared" si="1"/>
        <v>459.83496450378544</v>
      </c>
      <c r="M31" s="18">
        <f t="shared" si="2"/>
        <v>32.199064110470928</v>
      </c>
      <c r="N31" s="18">
        <f t="shared" si="3"/>
        <v>4.6073724320953255</v>
      </c>
      <c r="O31" s="19">
        <f t="shared" si="4"/>
        <v>496.64140104635169</v>
      </c>
    </row>
    <row r="32" spans="3:17">
      <c r="C32" s="27">
        <v>43862</v>
      </c>
      <c r="D32" s="7">
        <v>10.54</v>
      </c>
      <c r="E32" s="8"/>
      <c r="F32" s="6"/>
      <c r="G32" s="17">
        <v>4223.9070000000002</v>
      </c>
      <c r="H32" s="18">
        <f t="shared" si="0"/>
        <v>400.75018975332074</v>
      </c>
      <c r="I32" s="18">
        <f>184162.35+6737.14</f>
        <v>190899.49000000002</v>
      </c>
      <c r="J32" s="18">
        <f>1632.66+1595.86+5259.64+478.51+647.55</f>
        <v>9614.2199999999993</v>
      </c>
      <c r="K32" s="18">
        <v>1370.78</v>
      </c>
      <c r="L32" s="18">
        <f t="shared" si="1"/>
        <v>476.3553327760294</v>
      </c>
      <c r="M32" s="18">
        <f t="shared" si="2"/>
        <v>23.990556326169109</v>
      </c>
      <c r="N32" s="18">
        <f t="shared" si="3"/>
        <v>3.4205348744657487</v>
      </c>
      <c r="O32" s="19">
        <f t="shared" si="4"/>
        <v>503.76642397666427</v>
      </c>
    </row>
    <row r="33" spans="1:15">
      <c r="C33" s="9"/>
      <c r="D33" s="12"/>
      <c r="E33" s="13"/>
      <c r="F33" s="10"/>
    </row>
    <row r="34" spans="1:15" ht="42.75" customHeight="1">
      <c r="A34" s="29" t="s">
        <v>14</v>
      </c>
      <c r="B34" s="29"/>
      <c r="C34" s="29"/>
      <c r="D34" s="29"/>
      <c r="E34" s="29"/>
      <c r="F34" s="29"/>
      <c r="G34" s="29"/>
      <c r="H34" s="29"/>
      <c r="I34" s="29"/>
      <c r="J34" s="29"/>
      <c r="K34" s="29"/>
      <c r="L34" s="29"/>
      <c r="M34" s="29"/>
      <c r="N34" s="29"/>
      <c r="O34" s="29"/>
    </row>
    <row r="35" spans="1:15">
      <c r="A35" s="20"/>
      <c r="B35" s="21"/>
      <c r="C35" s="20"/>
      <c r="D35" s="20"/>
      <c r="E35" s="20"/>
      <c r="F35" s="20"/>
      <c r="G35" s="22"/>
      <c r="H35" s="22"/>
      <c r="I35" s="22"/>
      <c r="J35" s="22"/>
      <c r="K35" s="22"/>
      <c r="L35" s="22"/>
      <c r="M35" s="22"/>
      <c r="N35" s="22"/>
      <c r="O35" s="22"/>
    </row>
    <row r="36" spans="1:15" ht="32.25" customHeight="1">
      <c r="A36" s="30" t="s">
        <v>17</v>
      </c>
      <c r="B36" s="30"/>
      <c r="C36" s="30"/>
      <c r="D36" s="30"/>
      <c r="E36" s="30"/>
      <c r="F36" s="30"/>
      <c r="G36" s="30"/>
      <c r="H36" s="30"/>
      <c r="I36" s="30"/>
      <c r="J36" s="30"/>
      <c r="K36" s="30"/>
      <c r="L36" s="30"/>
      <c r="M36" s="30"/>
      <c r="N36" s="30"/>
      <c r="O36" s="30"/>
    </row>
    <row r="37" spans="1:15">
      <c r="A37" s="20"/>
      <c r="B37" s="20"/>
      <c r="C37" s="20"/>
      <c r="D37" s="20"/>
      <c r="E37" s="20"/>
      <c r="F37" s="20"/>
      <c r="G37" s="22"/>
      <c r="H37" s="22"/>
      <c r="I37" s="22"/>
      <c r="J37" s="22"/>
      <c r="K37" s="22"/>
      <c r="L37" s="22"/>
      <c r="M37" s="22"/>
      <c r="N37" s="22"/>
      <c r="O37" s="22"/>
    </row>
    <row r="38" spans="1:15" ht="93.75" customHeight="1">
      <c r="A38" s="30" t="s">
        <v>27</v>
      </c>
      <c r="B38" s="30"/>
      <c r="C38" s="30"/>
      <c r="D38" s="30"/>
      <c r="E38" s="30"/>
      <c r="F38" s="30"/>
      <c r="G38" s="30"/>
      <c r="H38" s="30"/>
      <c r="I38" s="30"/>
      <c r="J38" s="30"/>
      <c r="K38" s="30"/>
      <c r="L38" s="30"/>
      <c r="M38" s="30"/>
      <c r="N38" s="30"/>
      <c r="O38" s="30"/>
    </row>
    <row r="39" spans="1:15">
      <c r="A39" s="20"/>
      <c r="B39" s="20"/>
      <c r="C39" s="20"/>
      <c r="D39" s="20"/>
      <c r="E39" s="20"/>
      <c r="F39" s="20"/>
      <c r="G39" s="22"/>
      <c r="H39" s="22"/>
      <c r="I39" s="22"/>
      <c r="J39" s="22"/>
      <c r="K39" s="22"/>
      <c r="L39" s="22"/>
      <c r="M39" s="22"/>
      <c r="N39" s="22"/>
      <c r="O39" s="22"/>
    </row>
    <row r="40" spans="1:15" ht="33.75" customHeight="1">
      <c r="A40" s="30" t="s">
        <v>28</v>
      </c>
      <c r="B40" s="30"/>
      <c r="C40" s="30"/>
      <c r="D40" s="30"/>
      <c r="E40" s="30"/>
      <c r="F40" s="30"/>
      <c r="G40" s="30"/>
      <c r="H40" s="30"/>
      <c r="I40" s="30"/>
      <c r="J40" s="30"/>
      <c r="K40" s="30"/>
      <c r="L40" s="30"/>
      <c r="M40" s="30"/>
      <c r="N40" s="30"/>
      <c r="O40" s="30"/>
    </row>
    <row r="43" spans="1:15">
      <c r="C43" s="23" t="s">
        <v>29</v>
      </c>
      <c r="D43" s="23">
        <f>AVERAGE(D19:D30)</f>
        <v>10.582833333333333</v>
      </c>
    </row>
  </sheetData>
  <mergeCells count="5">
    <mergeCell ref="A1:F1"/>
    <mergeCell ref="A34:O34"/>
    <mergeCell ref="A36:O36"/>
    <mergeCell ref="A38:O38"/>
    <mergeCell ref="A40:O40"/>
  </mergeCells>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2017-11-01T08:50:42Z</dcterms:created>
  <dcterms:modified xsi:type="dcterms:W3CDTF">2020-03-25T15:27:50Z</dcterms:modified>
</cp:coreProperties>
</file>