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220" windowHeight="7815"/>
  </bookViews>
  <sheets>
    <sheet name="1" sheetId="1" r:id="rId1"/>
    <sheet name="2" sheetId="2" r:id="rId2"/>
  </sheets>
  <calcPr calcId="125725"/>
</workbook>
</file>

<file path=xl/calcChain.xml><?xml version="1.0" encoding="utf-8"?>
<calcChain xmlns="http://schemas.openxmlformats.org/spreadsheetml/2006/main">
  <c r="G9" i="1"/>
  <c r="G5" s="1"/>
  <c r="F13" l="1"/>
  <c r="E24" l="1"/>
  <c r="G13"/>
  <c r="E13"/>
  <c r="D13" l="1"/>
  <c r="E23" i="2"/>
  <c r="E22" s="1"/>
  <c r="E20" s="1"/>
  <c r="E21" s="1"/>
  <c r="E26"/>
  <c r="D23"/>
  <c r="D22" s="1"/>
  <c r="E9" i="1"/>
  <c r="E5" s="1"/>
  <c r="F9"/>
  <c r="F5" s="1"/>
  <c r="D9"/>
  <c r="D5" s="1"/>
  <c r="J6"/>
  <c r="H12"/>
  <c r="I12" s="1"/>
  <c r="J12"/>
  <c r="K12" s="1"/>
  <c r="D27" i="2"/>
  <c r="H6"/>
  <c r="D38"/>
  <c r="J11" i="1"/>
  <c r="K11" s="1"/>
  <c r="J10"/>
  <c r="K10" s="1"/>
  <c r="H11"/>
  <c r="H10"/>
  <c r="G38" i="2"/>
  <c r="F27"/>
  <c r="G27"/>
  <c r="J26"/>
  <c r="K26" s="1"/>
  <c r="H26"/>
  <c r="I26"/>
  <c r="G45"/>
  <c r="G46" s="1"/>
  <c r="F45"/>
  <c r="F46" s="1"/>
  <c r="E45"/>
  <c r="E46"/>
  <c r="E43"/>
  <c r="D45"/>
  <c r="K45" s="1"/>
  <c r="G43"/>
  <c r="F43"/>
  <c r="H43" s="1"/>
  <c r="I43" s="1"/>
  <c r="D43"/>
  <c r="D31"/>
  <c r="K31" s="1"/>
  <c r="J49"/>
  <c r="K49" s="1"/>
  <c r="H49"/>
  <c r="I49" s="1"/>
  <c r="J48"/>
  <c r="K48"/>
  <c r="I48"/>
  <c r="F47"/>
  <c r="G47"/>
  <c r="H47"/>
  <c r="H48"/>
  <c r="E47"/>
  <c r="G22"/>
  <c r="G20" s="1"/>
  <c r="F22"/>
  <c r="F20" s="1"/>
  <c r="E27"/>
  <c r="F38"/>
  <c r="H38" s="1"/>
  <c r="E38"/>
  <c r="D47"/>
  <c r="D8"/>
  <c r="E8"/>
  <c r="F8"/>
  <c r="G8"/>
  <c r="G33"/>
  <c r="F33"/>
  <c r="I33" s="1"/>
  <c r="E33"/>
  <c r="D33"/>
  <c r="K33"/>
  <c r="G32"/>
  <c r="F32"/>
  <c r="H32" s="1"/>
  <c r="E32"/>
  <c r="D32"/>
  <c r="K32" s="1"/>
  <c r="G31"/>
  <c r="F31"/>
  <c r="I31" s="1"/>
  <c r="E31"/>
  <c r="J40"/>
  <c r="K40"/>
  <c r="I40"/>
  <c r="J39"/>
  <c r="K39"/>
  <c r="H39"/>
  <c r="I39" s="1"/>
  <c r="F44"/>
  <c r="J35"/>
  <c r="K35" s="1"/>
  <c r="H35"/>
  <c r="I35" s="1"/>
  <c r="H36"/>
  <c r="I36" s="1"/>
  <c r="J36"/>
  <c r="K36" s="1"/>
  <c r="H28"/>
  <c r="I28" s="1"/>
  <c r="J28"/>
  <c r="K28" s="1"/>
  <c r="H29"/>
  <c r="I29"/>
  <c r="J29"/>
  <c r="K29"/>
  <c r="E30"/>
  <c r="E34" s="1"/>
  <c r="F30"/>
  <c r="F34" s="1"/>
  <c r="G30"/>
  <c r="G34" s="1"/>
  <c r="D30"/>
  <c r="D34" s="1"/>
  <c r="K17"/>
  <c r="J18"/>
  <c r="K18" s="1"/>
  <c r="J23"/>
  <c r="K23" s="1"/>
  <c r="I6"/>
  <c r="H7"/>
  <c r="I7" s="1"/>
  <c r="H9"/>
  <c r="I9" s="1"/>
  <c r="H10"/>
  <c r="I10" s="1"/>
  <c r="I17"/>
  <c r="H18"/>
  <c r="I18"/>
  <c r="H19"/>
  <c r="I19"/>
  <c r="H23"/>
  <c r="I23"/>
  <c r="I24"/>
  <c r="I25"/>
  <c r="H17"/>
  <c r="J17"/>
  <c r="J19"/>
  <c r="K19"/>
  <c r="H24"/>
  <c r="J24"/>
  <c r="K24"/>
  <c r="H25"/>
  <c r="J25"/>
  <c r="K25"/>
  <c r="E15"/>
  <c r="E12"/>
  <c r="F15"/>
  <c r="G15"/>
  <c r="G12" s="1"/>
  <c r="H12" s="1"/>
  <c r="I12" s="1"/>
  <c r="E16"/>
  <c r="E13"/>
  <c r="F16"/>
  <c r="F14" s="1"/>
  <c r="G16"/>
  <c r="G14" s="1"/>
  <c r="D16"/>
  <c r="J16"/>
  <c r="K16" s="1"/>
  <c r="D15"/>
  <c r="D12" s="1"/>
  <c r="J7"/>
  <c r="K7" s="1"/>
  <c r="J21" i="1"/>
  <c r="K21" s="1"/>
  <c r="J22"/>
  <c r="K22"/>
  <c r="J24"/>
  <c r="K24" s="1"/>
  <c r="K25"/>
  <c r="H21"/>
  <c r="I21" s="1"/>
  <c r="H22"/>
  <c r="I22" s="1"/>
  <c r="H24"/>
  <c r="I24" s="1"/>
  <c r="I25"/>
  <c r="K6"/>
  <c r="J7"/>
  <c r="K7" s="1"/>
  <c r="J8"/>
  <c r="K8" s="1"/>
  <c r="J13"/>
  <c r="K13" s="1"/>
  <c r="K14"/>
  <c r="J15"/>
  <c r="K15" s="1"/>
  <c r="H6"/>
  <c r="I6" s="1"/>
  <c r="H7"/>
  <c r="I7" s="1"/>
  <c r="H8"/>
  <c r="I8" s="1"/>
  <c r="I10"/>
  <c r="I11"/>
  <c r="H13"/>
  <c r="I13" s="1"/>
  <c r="I14"/>
  <c r="H15"/>
  <c r="I15" s="1"/>
  <c r="J25"/>
  <c r="J14"/>
  <c r="H25"/>
  <c r="H14"/>
  <c r="J10" i="2"/>
  <c r="K10" s="1"/>
  <c r="J9"/>
  <c r="K9" s="1"/>
  <c r="D5"/>
  <c r="G20" i="1"/>
  <c r="F20"/>
  <c r="D20"/>
  <c r="G23"/>
  <c r="F23"/>
  <c r="D23"/>
  <c r="E23"/>
  <c r="E20"/>
  <c r="F5" i="2"/>
  <c r="G5"/>
  <c r="E5"/>
  <c r="H40"/>
  <c r="J6"/>
  <c r="K6"/>
  <c r="H9" i="1"/>
  <c r="I9" s="1"/>
  <c r="J9"/>
  <c r="K9" s="1"/>
  <c r="H22" i="2"/>
  <c r="H33"/>
  <c r="I22"/>
  <c r="J33"/>
  <c r="F12"/>
  <c r="F13"/>
  <c r="D44"/>
  <c r="D41"/>
  <c r="D46"/>
  <c r="K46" s="1"/>
  <c r="J8"/>
  <c r="K8" s="1"/>
  <c r="D14"/>
  <c r="D11" s="1"/>
  <c r="J15"/>
  <c r="K15" s="1"/>
  <c r="D13"/>
  <c r="J32"/>
  <c r="E44"/>
  <c r="H30"/>
  <c r="I30" s="1"/>
  <c r="J27"/>
  <c r="K27" s="1"/>
  <c r="E14"/>
  <c r="E11" s="1"/>
  <c r="J30"/>
  <c r="K30" s="1"/>
  <c r="J5"/>
  <c r="G41"/>
  <c r="H45"/>
  <c r="I45" s="1"/>
  <c r="J41"/>
  <c r="K41"/>
  <c r="J31"/>
  <c r="G42"/>
  <c r="H8"/>
  <c r="I8" s="1"/>
  <c r="H31"/>
  <c r="J47"/>
  <c r="K47" s="1"/>
  <c r="J45"/>
  <c r="E41"/>
  <c r="E42" s="1"/>
  <c r="J14" l="1"/>
  <c r="K14" s="1"/>
  <c r="G11"/>
  <c r="J11" s="1"/>
  <c r="K11" s="1"/>
  <c r="D20"/>
  <c r="D21" s="1"/>
  <c r="J22"/>
  <c r="K22" s="1"/>
  <c r="G13"/>
  <c r="J13" s="1"/>
  <c r="K13" s="1"/>
  <c r="D42"/>
  <c r="J38"/>
  <c r="K38" s="1"/>
  <c r="J42"/>
  <c r="K42" s="1"/>
  <c r="H13"/>
  <c r="I13" s="1"/>
  <c r="J20" i="1"/>
  <c r="K20" s="1"/>
  <c r="I38" i="2"/>
  <c r="J43"/>
  <c r="K43" s="1"/>
  <c r="J23" i="1"/>
  <c r="K23" s="1"/>
  <c r="K5" i="2"/>
  <c r="I47"/>
  <c r="F21"/>
  <c r="H27"/>
  <c r="I27" s="1"/>
  <c r="F11"/>
  <c r="H14"/>
  <c r="H15"/>
  <c r="I15" s="1"/>
  <c r="H16"/>
  <c r="I16" s="1"/>
  <c r="I14"/>
  <c r="I32"/>
  <c r="H5"/>
  <c r="I5" s="1"/>
  <c r="F41"/>
  <c r="H5" i="1"/>
  <c r="I5" s="1"/>
  <c r="H20"/>
  <c r="I20" s="1"/>
  <c r="J34" i="2"/>
  <c r="K34" s="1"/>
  <c r="H34"/>
  <c r="I34" s="1"/>
  <c r="H20"/>
  <c r="I20" s="1"/>
  <c r="J20"/>
  <c r="K20" s="1"/>
  <c r="G21"/>
  <c r="J46"/>
  <c r="H46"/>
  <c r="I46" s="1"/>
  <c r="J12"/>
  <c r="K12" s="1"/>
  <c r="H23" i="1"/>
  <c r="I23" s="1"/>
  <c r="G44" i="2"/>
  <c r="J5" i="1"/>
  <c r="K5" s="1"/>
  <c r="H11" i="2" l="1"/>
  <c r="I11" s="1"/>
  <c r="F42"/>
  <c r="H41"/>
  <c r="I41" s="1"/>
  <c r="H21"/>
  <c r="I21" s="1"/>
  <c r="J21"/>
  <c r="K21" s="1"/>
  <c r="J44"/>
  <c r="K44" s="1"/>
  <c r="H44"/>
  <c r="I44" s="1"/>
  <c r="H42" l="1"/>
  <c r="I42" s="1"/>
</calcChain>
</file>

<file path=xl/sharedStrings.xml><?xml version="1.0" encoding="utf-8"?>
<sst xmlns="http://schemas.openxmlformats.org/spreadsheetml/2006/main" count="200" uniqueCount="106">
  <si>
    <t>№</t>
  </si>
  <si>
    <t>НАИМЕНОВАНИЕ НА РАЗХОДА</t>
  </si>
  <si>
    <t>МЯРКА</t>
  </si>
  <si>
    <t>І.</t>
  </si>
  <si>
    <t>УСЛОВНО-ПОСТОЯННИ РАЗХОДИ</t>
  </si>
  <si>
    <t>хил. лв.</t>
  </si>
  <si>
    <t xml:space="preserve">Разходи за външни услуги </t>
  </si>
  <si>
    <t>Разходи за амортизации</t>
  </si>
  <si>
    <t>Разходи за ремонт</t>
  </si>
  <si>
    <t>Разходи за заплати и възнаграждения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</si>
  <si>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</si>
  <si>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</si>
  <si>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</si>
  <si>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Цена на въглища</t>
  </si>
  <si>
    <t>Мярка</t>
  </si>
  <si>
    <t>8=7-6</t>
  </si>
  <si>
    <t xml:space="preserve"> в топлоизточника</t>
  </si>
  <si>
    <t xml:space="preserve"> по преноса</t>
  </si>
  <si>
    <t>Наименование</t>
  </si>
  <si>
    <t>Дименсия</t>
  </si>
  <si>
    <t>Произведена електрическа енергия</t>
  </si>
  <si>
    <t>МВтч</t>
  </si>
  <si>
    <t>Електрическа енергия за собствени нужди</t>
  </si>
  <si>
    <t>%</t>
  </si>
  <si>
    <t xml:space="preserve">Продадена електрическа енергия </t>
  </si>
  <si>
    <t>Отпусната топлинна енергия от съоръженията-общо</t>
  </si>
  <si>
    <t>пара</t>
  </si>
  <si>
    <t>гореща вода</t>
  </si>
  <si>
    <t>Топлинна енергия за собствени нужди</t>
  </si>
  <si>
    <t>Отпусната топлинна енергия към преноса-общо</t>
  </si>
  <si>
    <t>СРуг за произв. на EЕ</t>
  </si>
  <si>
    <t>СРуг за произв. на ТЕ</t>
  </si>
  <si>
    <t>Технологични разходи - общо</t>
  </si>
  <si>
    <t>Технологични разходи - пара</t>
  </si>
  <si>
    <t>Технологични разходи - гореща вода</t>
  </si>
  <si>
    <t>Топлинна енергия за разпределение - общо</t>
  </si>
  <si>
    <t>Изменение  в %</t>
  </si>
  <si>
    <t>Изменение   в %</t>
  </si>
  <si>
    <t>Приложение №3</t>
  </si>
  <si>
    <t>10 = 7-4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</si>
  <si>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</si>
  <si>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осигурителни вноски</t>
  </si>
  <si>
    <t>социални разходи</t>
  </si>
  <si>
    <t>3.1.</t>
  </si>
  <si>
    <t>3.1.1.</t>
  </si>
  <si>
    <t>3.1.2.</t>
  </si>
  <si>
    <t>Разходи, пряко свързани с регулираните дейности по ЗЕ, в т.ч.:</t>
  </si>
  <si>
    <t>4.1.</t>
  </si>
  <si>
    <t>III.</t>
  </si>
  <si>
    <t>лв./t</t>
  </si>
  <si>
    <t>Р е м о н т и  и  И н в е с т и ц и и</t>
  </si>
  <si>
    <t>Р е м о н т и  ОБЩО, в т.ч.:</t>
  </si>
  <si>
    <t>И н в е с т и ц и и  ОБЩО, в т.ч.:</t>
  </si>
  <si>
    <t>Дружество:</t>
  </si>
  <si>
    <t>І.1.</t>
  </si>
  <si>
    <t>І.2.</t>
  </si>
  <si>
    <t>ІІ.1.</t>
  </si>
  <si>
    <t>ІІ.2.</t>
  </si>
  <si>
    <t>Гл.  счетоводител:</t>
  </si>
  <si>
    <t>Изп.  директор:</t>
  </si>
  <si>
    <t>8 =7 - 6</t>
  </si>
  <si>
    <t>10 = 7 - 4</t>
  </si>
  <si>
    <t>MWh</t>
  </si>
  <si>
    <t>Произведена топлинна енергия от ВК</t>
  </si>
  <si>
    <t>Произведена топлинна енергия от ППК</t>
  </si>
  <si>
    <t>1.1.</t>
  </si>
  <si>
    <t>1.2.</t>
  </si>
  <si>
    <t>2.1.</t>
  </si>
  <si>
    <t>2.2.</t>
  </si>
  <si>
    <t>3.2.</t>
  </si>
  <si>
    <t>4.2.</t>
  </si>
  <si>
    <t>7.1.</t>
  </si>
  <si>
    <t>7.2.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</si>
  <si>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</si>
  <si>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</si>
  <si>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Некомбинирана електрическа енергия</t>
  </si>
  <si>
    <t>7.2.1.</t>
  </si>
  <si>
    <t>7.2.2.</t>
  </si>
  <si>
    <t>7.2.3.</t>
  </si>
  <si>
    <t>ОБЩА ефективност</t>
  </si>
  <si>
    <t>Топлинна ефективност</t>
  </si>
  <si>
    <t>Електрическа ефективност</t>
  </si>
  <si>
    <t>Топлина на горивата за ен. част</t>
  </si>
  <si>
    <t>Топлина на горивата за производство</t>
  </si>
  <si>
    <t>Топлина на горивата за ВК§ППК</t>
  </si>
  <si>
    <t>8.1.</t>
  </si>
  <si>
    <t>8.2.</t>
  </si>
  <si>
    <t>Топлинна ефективност на ВК§ППК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</si>
  <si>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</si>
  <si>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</si>
  <si>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10.1.</t>
  </si>
  <si>
    <t>10.2.</t>
  </si>
  <si>
    <t>Топлинна енергия за собствено потребление</t>
  </si>
  <si>
    <t>водна пара</t>
  </si>
  <si>
    <t>Електрическа енергия за собствено потребление</t>
  </si>
  <si>
    <t>7.2.4.</t>
  </si>
  <si>
    <t>Брикел ЕАД</t>
  </si>
  <si>
    <t xml:space="preserve"> /П. Маринова/</t>
  </si>
  <si>
    <t xml:space="preserve"> /Я.Павлов./</t>
  </si>
  <si>
    <t>Прогноза в цени от  01.07.2018 г.</t>
  </si>
  <si>
    <r>
      <t>Разлика</t>
    </r>
    <r>
      <rPr>
        <sz val="10"/>
        <rFont val="Times New Roman"/>
        <family val="1"/>
        <charset val="204"/>
      </rPr>
      <t xml:space="preserve"> Прогноза 2018 – Отчет ценови период</t>
    </r>
  </si>
  <si>
    <r>
      <t>Разлика</t>
    </r>
    <r>
      <rPr>
        <sz val="10"/>
        <rFont val="Times New Roman"/>
        <family val="1"/>
        <charset val="204"/>
      </rPr>
      <t xml:space="preserve"> Прогноза 2018 – Прогноза 2017 г.</t>
    </r>
  </si>
  <si>
    <t>:</t>
  </si>
  <si>
    <t>Отчет 2018 г.</t>
  </si>
  <si>
    <t>Прогноза в цени от  01.07.2019 г.</t>
  </si>
  <si>
    <t>Отчет ценови период 01.07.2018 -30.06.2019 г.</t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</si>
</sst>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color indexed="4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2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workbookViewId="0">
      <selection activeCell="F8" sqref="F8"/>
    </sheetView>
  </sheetViews>
  <sheetFormatPr defaultColWidth="0" defaultRowHeight="12.75"/>
  <cols>
    <col min="1" max="1" width="5.140625" customWidth="1"/>
    <col min="2" max="2" width="31.28515625" customWidth="1"/>
    <col min="3" max="3" width="9.7109375" customWidth="1"/>
    <col min="4" max="4" width="13.140625" customWidth="1"/>
    <col min="5" max="5" width="13.140625" bestFit="1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>
      <c r="B1" s="23" t="s">
        <v>53</v>
      </c>
      <c r="C1" s="24" t="s">
        <v>96</v>
      </c>
      <c r="K1" s="25" t="s">
        <v>38</v>
      </c>
    </row>
    <row r="3" spans="1:11" ht="51">
      <c r="A3" s="2" t="s">
        <v>0</v>
      </c>
      <c r="B3" s="2" t="s">
        <v>1</v>
      </c>
      <c r="C3" s="2" t="s">
        <v>2</v>
      </c>
      <c r="D3" s="65" t="s">
        <v>99</v>
      </c>
      <c r="E3" s="65" t="s">
        <v>103</v>
      </c>
      <c r="F3" s="65" t="s">
        <v>105</v>
      </c>
      <c r="G3" s="65" t="s">
        <v>104</v>
      </c>
      <c r="H3" s="16" t="s">
        <v>100</v>
      </c>
      <c r="I3" s="3" t="s">
        <v>36</v>
      </c>
      <c r="J3" s="16" t="s">
        <v>101</v>
      </c>
      <c r="K3" s="3" t="s">
        <v>37</v>
      </c>
    </row>
    <row r="4" spans="1:11">
      <c r="A4" s="3">
        <v>1</v>
      </c>
      <c r="B4" s="3">
        <v>2</v>
      </c>
      <c r="C4" s="3">
        <v>3</v>
      </c>
      <c r="D4" s="2">
        <v>4</v>
      </c>
      <c r="E4" s="61">
        <v>5</v>
      </c>
      <c r="F4" s="60">
        <v>6</v>
      </c>
      <c r="G4" s="60">
        <v>7</v>
      </c>
      <c r="H4" s="15" t="s">
        <v>60</v>
      </c>
      <c r="I4" s="2">
        <v>9</v>
      </c>
      <c r="J4" s="8" t="s">
        <v>61</v>
      </c>
      <c r="K4" s="3">
        <v>11</v>
      </c>
    </row>
    <row r="5" spans="1:11">
      <c r="A5" s="3" t="s">
        <v>3</v>
      </c>
      <c r="B5" s="4" t="s">
        <v>4</v>
      </c>
      <c r="C5" s="2" t="s">
        <v>5</v>
      </c>
      <c r="D5" s="27">
        <f>SUM(D6:D9,D12)</f>
        <v>30300</v>
      </c>
      <c r="E5" s="27">
        <f>SUM(E6:E9,E12)</f>
        <v>28090</v>
      </c>
      <c r="F5" s="27">
        <f>SUM(F6:F9,F12)</f>
        <v>29566</v>
      </c>
      <c r="G5" s="27">
        <f>SUM(G6:G9,G12)</f>
        <v>32631.78</v>
      </c>
      <c r="H5" s="13">
        <f t="shared" ref="H5:H15" si="0">G5-F5</f>
        <v>3065.7799999999988</v>
      </c>
      <c r="I5" s="14">
        <f>IF(F5=0,0,H5/F5)</f>
        <v>0.1036927551917743</v>
      </c>
      <c r="J5" s="11">
        <f t="shared" ref="J5:J15" si="1">G5-D5</f>
        <v>2331.7799999999988</v>
      </c>
      <c r="K5" s="9">
        <f>IF(D5=0,0,J5/D5)</f>
        <v>7.6956435643564317E-2</v>
      </c>
    </row>
    <row r="6" spans="1:11">
      <c r="A6" s="3">
        <v>1</v>
      </c>
      <c r="B6" s="5" t="s">
        <v>7</v>
      </c>
      <c r="C6" s="2" t="s">
        <v>5</v>
      </c>
      <c r="D6" s="20">
        <v>8140</v>
      </c>
      <c r="E6" s="20">
        <v>8059</v>
      </c>
      <c r="F6" s="20">
        <v>8411</v>
      </c>
      <c r="G6" s="20">
        <v>8764</v>
      </c>
      <c r="H6" s="13">
        <f t="shared" si="0"/>
        <v>353</v>
      </c>
      <c r="I6" s="14">
        <f t="shared" ref="I6:I15" si="2">IF(F6=0,0,H6/F6)</f>
        <v>4.1968850315063609E-2</v>
      </c>
      <c r="J6" s="11">
        <f>G6-D6</f>
        <v>624</v>
      </c>
      <c r="K6" s="9">
        <f t="shared" ref="K6:K15" si="3">IF(D6=0,0,J6/D6)</f>
        <v>7.6658476658476665E-2</v>
      </c>
    </row>
    <row r="7" spans="1:11">
      <c r="A7" s="3">
        <v>2</v>
      </c>
      <c r="B7" s="5" t="s">
        <v>8</v>
      </c>
      <c r="C7" s="2" t="s">
        <v>5</v>
      </c>
      <c r="D7" s="20">
        <v>3461</v>
      </c>
      <c r="E7" s="20">
        <v>1246</v>
      </c>
      <c r="F7" s="20">
        <v>1750</v>
      </c>
      <c r="G7" s="20">
        <v>3046</v>
      </c>
      <c r="H7" s="13">
        <f t="shared" si="0"/>
        <v>1296</v>
      </c>
      <c r="I7" s="14">
        <f t="shared" si="2"/>
        <v>0.74057142857142855</v>
      </c>
      <c r="J7" s="11">
        <f t="shared" si="1"/>
        <v>-415</v>
      </c>
      <c r="K7" s="9">
        <f t="shared" si="3"/>
        <v>-0.11990754117307137</v>
      </c>
    </row>
    <row r="8" spans="1:11" ht="13.5" customHeight="1">
      <c r="A8" s="3">
        <v>3</v>
      </c>
      <c r="B8" s="5" t="s">
        <v>9</v>
      </c>
      <c r="C8" s="2" t="s">
        <v>5</v>
      </c>
      <c r="D8" s="20">
        <v>12257</v>
      </c>
      <c r="E8" s="20">
        <v>9892</v>
      </c>
      <c r="F8" s="20">
        <v>10354</v>
      </c>
      <c r="G8" s="20">
        <v>11375.8</v>
      </c>
      <c r="H8" s="13">
        <f t="shared" si="0"/>
        <v>1021.7999999999993</v>
      </c>
      <c r="I8" s="14">
        <f t="shared" si="2"/>
        <v>9.8686497971798265E-2</v>
      </c>
      <c r="J8" s="11">
        <f t="shared" si="1"/>
        <v>-881.20000000000073</v>
      </c>
      <c r="K8" s="9">
        <f t="shared" si="3"/>
        <v>-7.1893611813657568E-2</v>
      </c>
    </row>
    <row r="9" spans="1:11" ht="24">
      <c r="A9" s="3" t="s">
        <v>43</v>
      </c>
      <c r="B9" s="17" t="s">
        <v>40</v>
      </c>
      <c r="C9" s="2" t="s">
        <v>5</v>
      </c>
      <c r="D9" s="19">
        <f>SUM(D10:D11)</f>
        <v>3336</v>
      </c>
      <c r="E9" s="19">
        <f>SUM(E10:E11)</f>
        <v>2898</v>
      </c>
      <c r="F9" s="19">
        <f>SUM(F10:F11)</f>
        <v>3025</v>
      </c>
      <c r="G9" s="19">
        <f>SUM(G10:G11)</f>
        <v>3290.1419999999998</v>
      </c>
      <c r="H9" s="13">
        <f t="shared" si="0"/>
        <v>265.14199999999983</v>
      </c>
      <c r="I9" s="14">
        <f t="shared" si="2"/>
        <v>8.7650247933884234E-2</v>
      </c>
      <c r="J9" s="11">
        <f t="shared" si="1"/>
        <v>-45.858000000000175</v>
      </c>
      <c r="K9" s="9">
        <f t="shared" si="3"/>
        <v>-1.3746402877697895E-2</v>
      </c>
    </row>
    <row r="10" spans="1:11">
      <c r="A10" s="3" t="s">
        <v>44</v>
      </c>
      <c r="B10" s="18" t="s">
        <v>41</v>
      </c>
      <c r="C10" s="2" t="s">
        <v>5</v>
      </c>
      <c r="D10" s="20">
        <v>2950</v>
      </c>
      <c r="E10" s="20">
        <v>2552</v>
      </c>
      <c r="F10" s="20">
        <v>2675</v>
      </c>
      <c r="G10" s="20">
        <v>2934.7999999999997</v>
      </c>
      <c r="H10" s="13">
        <f t="shared" si="0"/>
        <v>259.79999999999973</v>
      </c>
      <c r="I10" s="14">
        <f t="shared" si="2"/>
        <v>9.7121495327102708E-2</v>
      </c>
      <c r="J10" s="11">
        <f t="shared" si="1"/>
        <v>-15.200000000000273</v>
      </c>
      <c r="K10" s="9">
        <f t="shared" si="3"/>
        <v>-5.1525423728814483E-3</v>
      </c>
    </row>
    <row r="11" spans="1:11">
      <c r="A11" s="3" t="s">
        <v>45</v>
      </c>
      <c r="B11" s="18" t="s">
        <v>42</v>
      </c>
      <c r="C11" s="2" t="s">
        <v>5</v>
      </c>
      <c r="D11" s="20">
        <v>386</v>
      </c>
      <c r="E11" s="20">
        <v>346</v>
      </c>
      <c r="F11" s="20">
        <v>350</v>
      </c>
      <c r="G11" s="20">
        <v>355.34199999999998</v>
      </c>
      <c r="H11" s="13">
        <f t="shared" si="0"/>
        <v>5.3419999999999845</v>
      </c>
      <c r="I11" s="14">
        <f t="shared" si="2"/>
        <v>1.5262857142857099E-2</v>
      </c>
      <c r="J11" s="11">
        <f t="shared" si="1"/>
        <v>-30.658000000000015</v>
      </c>
      <c r="K11" s="9">
        <f t="shared" si="3"/>
        <v>-7.9424870466321282E-2</v>
      </c>
    </row>
    <row r="12" spans="1:11" ht="25.5">
      <c r="A12" s="3">
        <v>4</v>
      </c>
      <c r="B12" s="21" t="s">
        <v>46</v>
      </c>
      <c r="C12" s="2" t="s">
        <v>5</v>
      </c>
      <c r="D12" s="20">
        <v>3106</v>
      </c>
      <c r="E12" s="20">
        <v>5995</v>
      </c>
      <c r="F12" s="20">
        <v>6026</v>
      </c>
      <c r="G12" s="20">
        <v>6155.8379999999988</v>
      </c>
      <c r="H12" s="13">
        <f>G12-F12</f>
        <v>129.83799999999883</v>
      </c>
      <c r="I12" s="14">
        <f>IF(F12=0,0,H12/F12)</f>
        <v>2.1546299369399075E-2</v>
      </c>
      <c r="J12" s="11">
        <f t="shared" si="1"/>
        <v>3049.8379999999988</v>
      </c>
      <c r="K12" s="9">
        <f>IF(D12=0,0,J12/D12)</f>
        <v>0.98191822279459073</v>
      </c>
    </row>
    <row r="13" spans="1:11">
      <c r="A13" s="3" t="s">
        <v>47</v>
      </c>
      <c r="B13" s="7" t="s">
        <v>6</v>
      </c>
      <c r="C13" s="2" t="s">
        <v>5</v>
      </c>
      <c r="D13" s="20">
        <f>94+17+36+7+686+55+16+81+492+11+36+6+77</f>
        <v>1614</v>
      </c>
      <c r="E13" s="20">
        <f>49+12+38+6+660+1886+14+61+476+2+107+22+100+21+36</f>
        <v>3490</v>
      </c>
      <c r="F13" s="20">
        <f>51+12+38+6+660+1888+15+62+482+2+110+22+102+21+37</f>
        <v>3508</v>
      </c>
      <c r="G13" s="20">
        <f>50+12+39+6+678+1937+14+62+489+2+110+23+103+22+37</f>
        <v>3584</v>
      </c>
      <c r="H13" s="13">
        <f t="shared" si="0"/>
        <v>76</v>
      </c>
      <c r="I13" s="14">
        <f t="shared" si="2"/>
        <v>2.1664766248574687E-2</v>
      </c>
      <c r="J13" s="11">
        <f t="shared" si="1"/>
        <v>1970</v>
      </c>
      <c r="K13" s="9">
        <f t="shared" si="3"/>
        <v>1.2205700123915737</v>
      </c>
    </row>
    <row r="14" spans="1:11" ht="16.5" customHeight="1">
      <c r="A14" s="3" t="s">
        <v>10</v>
      </c>
      <c r="B14" s="5" t="s">
        <v>11</v>
      </c>
      <c r="C14" s="2" t="s">
        <v>12</v>
      </c>
      <c r="D14" s="26"/>
      <c r="E14" s="26"/>
      <c r="F14" s="26"/>
      <c r="G14" s="26"/>
      <c r="H14" s="13">
        <f t="shared" si="0"/>
        <v>0</v>
      </c>
      <c r="I14" s="14">
        <f t="shared" si="2"/>
        <v>0</v>
      </c>
      <c r="J14" s="11">
        <f t="shared" si="1"/>
        <v>0</v>
      </c>
      <c r="K14" s="9">
        <f t="shared" si="3"/>
        <v>0</v>
      </c>
    </row>
    <row r="15" spans="1:11">
      <c r="A15" s="3" t="s">
        <v>48</v>
      </c>
      <c r="B15" s="5" t="s">
        <v>13</v>
      </c>
      <c r="C15" s="2" t="s">
        <v>49</v>
      </c>
      <c r="D15" s="26">
        <v>83.42</v>
      </c>
      <c r="E15" s="26">
        <v>84.898427224385998</v>
      </c>
      <c r="F15" s="26">
        <v>84.463819245328111</v>
      </c>
      <c r="G15" s="26">
        <v>84.5</v>
      </c>
      <c r="H15" s="13">
        <f t="shared" si="0"/>
        <v>3.6180754671889304E-2</v>
      </c>
      <c r="I15" s="14">
        <f t="shared" si="2"/>
        <v>4.2835802353195795E-4</v>
      </c>
      <c r="J15" s="11">
        <f t="shared" si="1"/>
        <v>1.0799999999999983</v>
      </c>
      <c r="K15" s="9">
        <f t="shared" si="3"/>
        <v>1.2946535602972887E-2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>
      <c r="A18" s="2" t="s">
        <v>0</v>
      </c>
      <c r="B18" s="2" t="s">
        <v>50</v>
      </c>
      <c r="C18" s="2" t="s">
        <v>14</v>
      </c>
      <c r="D18" s="65" t="s">
        <v>99</v>
      </c>
      <c r="E18" s="65" t="s">
        <v>103</v>
      </c>
      <c r="F18" s="65" t="s">
        <v>105</v>
      </c>
      <c r="G18" s="65" t="s">
        <v>104</v>
      </c>
      <c r="H18" s="16" t="s">
        <v>100</v>
      </c>
      <c r="I18" s="3" t="s">
        <v>36</v>
      </c>
      <c r="J18" s="16" t="s">
        <v>101</v>
      </c>
      <c r="K18" s="3" t="s">
        <v>37</v>
      </c>
    </row>
    <row r="19" spans="1:17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5" t="s">
        <v>60</v>
      </c>
      <c r="I19" s="2">
        <v>9</v>
      </c>
      <c r="J19" s="8" t="s">
        <v>61</v>
      </c>
      <c r="K19" s="3">
        <v>11</v>
      </c>
    </row>
    <row r="20" spans="1:17" ht="15.75">
      <c r="A20" s="3" t="s">
        <v>3</v>
      </c>
      <c r="B20" s="22" t="s">
        <v>51</v>
      </c>
      <c r="C20" s="2" t="s">
        <v>5</v>
      </c>
      <c r="D20" s="13">
        <f>D21+D22</f>
        <v>3461</v>
      </c>
      <c r="E20" s="13">
        <f>E21+E22</f>
        <v>1246</v>
      </c>
      <c r="F20" s="13">
        <f>F21+F22</f>
        <v>1750</v>
      </c>
      <c r="G20" s="13">
        <f>G21+G22</f>
        <v>3046</v>
      </c>
      <c r="H20" s="13">
        <f t="shared" ref="H20:H25" si="4">G20-F20</f>
        <v>1296</v>
      </c>
      <c r="I20" s="14">
        <f t="shared" ref="I20:I25" si="5">IF(G20=0,0,H20/G20)</f>
        <v>0.42547603414313856</v>
      </c>
      <c r="J20" s="11">
        <f t="shared" ref="J20:J25" si="6">G20-D20</f>
        <v>-415</v>
      </c>
      <c r="K20" s="9">
        <f t="shared" ref="K20:K25" si="7">IF(D20=0,0,J20/D20)</f>
        <v>-0.11990754117307137</v>
      </c>
    </row>
    <row r="21" spans="1:17">
      <c r="A21" s="3" t="s">
        <v>54</v>
      </c>
      <c r="B21" s="7" t="s">
        <v>16</v>
      </c>
      <c r="C21" s="2" t="s">
        <v>5</v>
      </c>
      <c r="D21" s="20">
        <v>3461</v>
      </c>
      <c r="E21" s="20">
        <v>1240</v>
      </c>
      <c r="F21" s="20">
        <v>1744</v>
      </c>
      <c r="G21" s="20">
        <v>3040</v>
      </c>
      <c r="H21" s="13">
        <f t="shared" si="4"/>
        <v>1296</v>
      </c>
      <c r="I21" s="14">
        <f t="shared" si="5"/>
        <v>0.4263157894736842</v>
      </c>
      <c r="J21" s="11">
        <f t="shared" si="6"/>
        <v>-421</v>
      </c>
      <c r="K21" s="9">
        <f t="shared" si="7"/>
        <v>-0.12164114417798325</v>
      </c>
    </row>
    <row r="22" spans="1:17">
      <c r="A22" s="3" t="s">
        <v>55</v>
      </c>
      <c r="B22" s="7" t="s">
        <v>17</v>
      </c>
      <c r="C22" s="2" t="s">
        <v>5</v>
      </c>
      <c r="D22" s="20"/>
      <c r="E22" s="20">
        <v>6</v>
      </c>
      <c r="F22" s="20">
        <v>6</v>
      </c>
      <c r="G22" s="20">
        <v>6</v>
      </c>
      <c r="H22" s="13">
        <f t="shared" si="4"/>
        <v>0</v>
      </c>
      <c r="I22" s="14">
        <f t="shared" si="5"/>
        <v>0</v>
      </c>
      <c r="J22" s="11">
        <f t="shared" si="6"/>
        <v>6</v>
      </c>
      <c r="K22" s="9">
        <f t="shared" si="7"/>
        <v>0</v>
      </c>
    </row>
    <row r="23" spans="1:17" ht="15.75">
      <c r="A23" s="3" t="s">
        <v>10</v>
      </c>
      <c r="B23" s="22" t="s">
        <v>52</v>
      </c>
      <c r="C23" s="2" t="s">
        <v>5</v>
      </c>
      <c r="D23" s="58">
        <f>D24+D25</f>
        <v>4035</v>
      </c>
      <c r="E23" s="13">
        <f>E24+E25</f>
        <v>8982</v>
      </c>
      <c r="F23" s="13">
        <f>F24+F25</f>
        <v>8218</v>
      </c>
      <c r="G23" s="13">
        <f>G24+G25</f>
        <v>3700</v>
      </c>
      <c r="H23" s="13">
        <f t="shared" si="4"/>
        <v>-4518</v>
      </c>
      <c r="I23" s="14">
        <f t="shared" si="5"/>
        <v>-1.221081081081081</v>
      </c>
      <c r="J23" s="11">
        <f t="shared" si="6"/>
        <v>-335</v>
      </c>
      <c r="K23" s="9">
        <f t="shared" si="7"/>
        <v>-8.302354399008674E-2</v>
      </c>
    </row>
    <row r="24" spans="1:17">
      <c r="A24" s="3" t="s">
        <v>56</v>
      </c>
      <c r="B24" s="7" t="s">
        <v>16</v>
      </c>
      <c r="C24" s="2" t="s">
        <v>5</v>
      </c>
      <c r="D24" s="20">
        <v>4035</v>
      </c>
      <c r="E24" s="20">
        <f>8846+136</f>
        <v>8982</v>
      </c>
      <c r="F24" s="20">
        <v>8218</v>
      </c>
      <c r="G24" s="20">
        <v>3700</v>
      </c>
      <c r="H24" s="13">
        <f t="shared" si="4"/>
        <v>-4518</v>
      </c>
      <c r="I24" s="14">
        <f t="shared" si="5"/>
        <v>-1.221081081081081</v>
      </c>
      <c r="J24" s="11">
        <f t="shared" si="6"/>
        <v>-335</v>
      </c>
      <c r="K24" s="9">
        <f t="shared" si="7"/>
        <v>-8.302354399008674E-2</v>
      </c>
    </row>
    <row r="25" spans="1:17">
      <c r="A25" s="3" t="s">
        <v>57</v>
      </c>
      <c r="B25" s="7" t="s">
        <v>17</v>
      </c>
      <c r="C25" s="2" t="s">
        <v>5</v>
      </c>
      <c r="D25" s="20"/>
      <c r="E25" s="20"/>
      <c r="F25" s="20"/>
      <c r="G25" s="20"/>
      <c r="H25" s="13">
        <f t="shared" si="4"/>
        <v>0</v>
      </c>
      <c r="I25" s="14">
        <f t="shared" si="5"/>
        <v>0</v>
      </c>
      <c r="J25" s="11">
        <f t="shared" si="6"/>
        <v>0</v>
      </c>
      <c r="K25" s="9">
        <f t="shared" si="7"/>
        <v>0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32" customFormat="1">
      <c r="A28" s="28"/>
      <c r="B28" s="28" t="s">
        <v>58</v>
      </c>
      <c r="C28" s="29"/>
      <c r="D28" s="29"/>
      <c r="E28" s="30" t="s">
        <v>59</v>
      </c>
      <c r="F28" s="31"/>
      <c r="G28" s="31"/>
      <c r="H28" s="31"/>
      <c r="O28" s="29"/>
      <c r="P28" s="29"/>
      <c r="Q28" s="33"/>
    </row>
    <row r="29" spans="1:17" s="32" customFormat="1">
      <c r="B29" s="48" t="s">
        <v>97</v>
      </c>
      <c r="F29" s="34" t="s">
        <v>98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honeticPr fontId="4" type="noConversion"/>
  <printOptions horizontalCentered="1"/>
  <pageMargins left="0.35433070866141736" right="0.35433070866141736" top="0.98425196850393704" bottom="0.39370078740157483" header="0.11811023622047245" footer="0.11811023622047245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1"/>
  <sheetViews>
    <sheetView topLeftCell="A3" zoomScaleNormal="100" workbookViewId="0">
      <selection activeCell="D3" sqref="D3:G3"/>
    </sheetView>
  </sheetViews>
  <sheetFormatPr defaultColWidth="0" defaultRowHeight="12.75" zeroHeight="1"/>
  <cols>
    <col min="1" max="1" width="7.85546875" style="45" bestFit="1" customWidth="1"/>
    <col min="2" max="2" width="43.28515625" style="46" customWidth="1"/>
    <col min="3" max="3" width="12.28515625" style="46" customWidth="1"/>
    <col min="4" max="4" width="13.28515625" style="46" customWidth="1"/>
    <col min="5" max="5" width="8.5703125" style="46" customWidth="1"/>
    <col min="6" max="6" width="11.7109375" style="46" customWidth="1"/>
    <col min="7" max="7" width="14.7109375" style="46" customWidth="1"/>
    <col min="8" max="8" width="15" style="46" customWidth="1"/>
    <col min="9" max="9" width="9.7109375" style="46" customWidth="1"/>
    <col min="10" max="10" width="14.85546875" style="46" customWidth="1"/>
    <col min="11" max="11" width="10" style="46" customWidth="1"/>
    <col min="12" max="12" width="9.140625" style="46" customWidth="1"/>
    <col min="13" max="16384" width="0" style="46" hidden="1"/>
  </cols>
  <sheetData>
    <row r="1" spans="1:11" ht="14.45" customHeight="1">
      <c r="B1" s="23" t="s">
        <v>53</v>
      </c>
      <c r="C1" s="24" t="s">
        <v>96</v>
      </c>
      <c r="K1" s="47" t="s">
        <v>38</v>
      </c>
    </row>
    <row r="2" spans="1:11" ht="4.9000000000000004" customHeight="1"/>
    <row r="3" spans="1:11" ht="51">
      <c r="A3" s="2" t="s">
        <v>0</v>
      </c>
      <c r="B3" s="3" t="s">
        <v>18</v>
      </c>
      <c r="C3" s="3" t="s">
        <v>19</v>
      </c>
      <c r="D3" s="65" t="s">
        <v>99</v>
      </c>
      <c r="E3" s="65" t="s">
        <v>103</v>
      </c>
      <c r="F3" s="65" t="s">
        <v>105</v>
      </c>
      <c r="G3" s="65" t="s">
        <v>104</v>
      </c>
      <c r="H3" s="16" t="s">
        <v>100</v>
      </c>
      <c r="I3" s="3" t="s">
        <v>36</v>
      </c>
      <c r="J3" s="16" t="s">
        <v>101</v>
      </c>
      <c r="K3" s="3" t="s">
        <v>37</v>
      </c>
    </row>
    <row r="4" spans="1:1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8" t="s">
        <v>15</v>
      </c>
      <c r="I4" s="8">
        <v>9</v>
      </c>
      <c r="J4" s="8" t="s">
        <v>39</v>
      </c>
      <c r="K4" s="8">
        <v>11</v>
      </c>
    </row>
    <row r="5" spans="1:11" ht="13.9" customHeight="1">
      <c r="A5" s="2">
        <v>1</v>
      </c>
      <c r="B5" s="6" t="s">
        <v>29</v>
      </c>
      <c r="C5" s="3" t="s">
        <v>62</v>
      </c>
      <c r="D5" s="11">
        <f>D7+D6</f>
        <v>1565822.916</v>
      </c>
      <c r="E5" s="11">
        <f>E7+E6</f>
        <v>1448941.5419999999</v>
      </c>
      <c r="F5" s="11">
        <f>F7+F6</f>
        <v>1454557.3389999999</v>
      </c>
      <c r="G5" s="11">
        <f>G7+G6</f>
        <v>1542516.4269999999</v>
      </c>
      <c r="H5" s="13">
        <f t="shared" ref="H5:H16" si="0">G5-F5</f>
        <v>87959.087999999989</v>
      </c>
      <c r="I5" s="9">
        <f>IF(F5=0,0,H5/F5)</f>
        <v>6.0471378914819109E-2</v>
      </c>
      <c r="J5" s="11">
        <f t="shared" ref="J5:J16" si="1">G5-D5</f>
        <v>-23306.48900000006</v>
      </c>
      <c r="K5" s="9">
        <f>IF(D5=0,0,J5/D5)</f>
        <v>-1.4884498599329518E-2</v>
      </c>
    </row>
    <row r="6" spans="1:11">
      <c r="A6" s="2" t="s">
        <v>65</v>
      </c>
      <c r="B6" s="7" t="s">
        <v>27</v>
      </c>
      <c r="C6" s="3" t="s">
        <v>62</v>
      </c>
      <c r="D6" s="40">
        <v>17335.264999999999</v>
      </c>
      <c r="E6" s="40">
        <v>17314.45</v>
      </c>
      <c r="F6" s="40">
        <v>17314.45</v>
      </c>
      <c r="G6" s="40">
        <v>17314.45</v>
      </c>
      <c r="H6" s="13">
        <f>G6-F6</f>
        <v>0</v>
      </c>
      <c r="I6" s="9">
        <f t="shared" ref="I6:I25" si="2">IF(F6=0,0,H6/F6)</f>
        <v>0</v>
      </c>
      <c r="J6" s="11">
        <f t="shared" si="1"/>
        <v>-20.81499999999869</v>
      </c>
      <c r="K6" s="9">
        <f t="shared" ref="K6:K25" si="3">IF(D6=0,0,J6/D6)</f>
        <v>-1.200731572317971E-3</v>
      </c>
    </row>
    <row r="7" spans="1:11">
      <c r="A7" s="2" t="s">
        <v>66</v>
      </c>
      <c r="B7" s="7" t="s">
        <v>26</v>
      </c>
      <c r="C7" s="3" t="s">
        <v>62</v>
      </c>
      <c r="D7" s="40">
        <v>1548487.6510000001</v>
      </c>
      <c r="E7" s="40">
        <v>1431627.0919999999</v>
      </c>
      <c r="F7" s="40">
        <v>1437242.889</v>
      </c>
      <c r="G7" s="40">
        <v>1525201.977</v>
      </c>
      <c r="H7" s="13">
        <f t="shared" si="0"/>
        <v>87959.087999999989</v>
      </c>
      <c r="I7" s="9">
        <f t="shared" si="2"/>
        <v>6.1199876981962227E-2</v>
      </c>
      <c r="J7" s="11">
        <f t="shared" si="1"/>
        <v>-23285.674000000115</v>
      </c>
      <c r="K7" s="9">
        <f t="shared" si="3"/>
        <v>-1.5037687891771321E-2</v>
      </c>
    </row>
    <row r="8" spans="1:11">
      <c r="A8" s="2">
        <v>2</v>
      </c>
      <c r="B8" s="6" t="s">
        <v>28</v>
      </c>
      <c r="C8" s="3" t="s">
        <v>62</v>
      </c>
      <c r="D8" s="11">
        <f>D10+D9</f>
        <v>178144.084</v>
      </c>
      <c r="E8" s="11">
        <f>E10+E9</f>
        <v>163485.45799999998</v>
      </c>
      <c r="F8" s="11">
        <f>F10+F9</f>
        <v>163552.66099999999</v>
      </c>
      <c r="G8" s="11">
        <f>G10+G9</f>
        <v>174105.57299999997</v>
      </c>
      <c r="H8" s="13">
        <f t="shared" si="0"/>
        <v>10552.911999999982</v>
      </c>
      <c r="I8" s="9">
        <f t="shared" si="2"/>
        <v>6.4523022343243822E-2</v>
      </c>
      <c r="J8" s="11">
        <f t="shared" si="1"/>
        <v>-4038.5110000000277</v>
      </c>
      <c r="K8" s="9">
        <f t="shared" si="3"/>
        <v>-2.2669913641364749E-2</v>
      </c>
    </row>
    <row r="9" spans="1:11">
      <c r="A9" s="2" t="s">
        <v>67</v>
      </c>
      <c r="B9" s="7" t="s">
        <v>27</v>
      </c>
      <c r="C9" s="3" t="s">
        <v>62</v>
      </c>
      <c r="D9" s="40">
        <v>1168.6520000000019</v>
      </c>
      <c r="E9" s="40">
        <v>832.49300000000005</v>
      </c>
      <c r="F9" s="40">
        <v>832.49300000000005</v>
      </c>
      <c r="G9" s="40">
        <v>832.49300000000005</v>
      </c>
      <c r="H9" s="13">
        <f t="shared" si="0"/>
        <v>0</v>
      </c>
      <c r="I9" s="9">
        <f t="shared" si="2"/>
        <v>0</v>
      </c>
      <c r="J9" s="11">
        <f t="shared" si="1"/>
        <v>-336.15900000000181</v>
      </c>
      <c r="K9" s="9">
        <f t="shared" si="3"/>
        <v>-0.28764679305730129</v>
      </c>
    </row>
    <row r="10" spans="1:11">
      <c r="A10" s="2" t="s">
        <v>68</v>
      </c>
      <c r="B10" s="7" t="s">
        <v>26</v>
      </c>
      <c r="C10" s="3" t="s">
        <v>62</v>
      </c>
      <c r="D10" s="40">
        <v>176975.432</v>
      </c>
      <c r="E10" s="40">
        <v>162652.965</v>
      </c>
      <c r="F10" s="40">
        <v>162720.16800000001</v>
      </c>
      <c r="G10" s="40">
        <v>173273.08</v>
      </c>
      <c r="H10" s="13">
        <f t="shared" si="0"/>
        <v>10552.911999999982</v>
      </c>
      <c r="I10" s="9">
        <f t="shared" si="2"/>
        <v>6.4853128716042013E-2</v>
      </c>
      <c r="J10" s="11">
        <f t="shared" si="1"/>
        <v>-3702.3520000000135</v>
      </c>
      <c r="K10" s="9">
        <f t="shared" si="3"/>
        <v>-2.0920146701492517E-2</v>
      </c>
    </row>
    <row r="11" spans="1:11" ht="15.75" customHeight="1">
      <c r="A11" s="2">
        <v>3</v>
      </c>
      <c r="B11" s="6" t="s">
        <v>28</v>
      </c>
      <c r="C11" s="3" t="s">
        <v>23</v>
      </c>
      <c r="D11" s="10">
        <f t="shared" ref="D11:G13" si="4">IF(D14=0,0,D8/D14)</f>
        <v>0.10214877001686386</v>
      </c>
      <c r="E11" s="10">
        <f t="shared" si="4"/>
        <v>0.1013909206432291</v>
      </c>
      <c r="F11" s="10">
        <f t="shared" si="4"/>
        <v>0.10107635513036814</v>
      </c>
      <c r="G11" s="10">
        <f t="shared" si="4"/>
        <v>0.1014233611126969</v>
      </c>
      <c r="H11" s="13">
        <f t="shared" si="0"/>
        <v>3.4700598232875746E-4</v>
      </c>
      <c r="I11" s="9">
        <f t="shared" si="2"/>
        <v>3.4331073957028788E-3</v>
      </c>
      <c r="J11" s="57">
        <f t="shared" si="1"/>
        <v>-7.2540890416696036E-4</v>
      </c>
      <c r="K11" s="9">
        <f t="shared" si="3"/>
        <v>-7.1014942622138451E-3</v>
      </c>
    </row>
    <row r="12" spans="1:11" ht="15.75" customHeight="1">
      <c r="A12" s="2" t="s">
        <v>43</v>
      </c>
      <c r="B12" s="7" t="s">
        <v>27</v>
      </c>
      <c r="C12" s="3" t="s">
        <v>23</v>
      </c>
      <c r="D12" s="10">
        <f t="shared" si="4"/>
        <v>6.3157006162533141E-2</v>
      </c>
      <c r="E12" s="10">
        <f t="shared" si="4"/>
        <v>4.5875109653455134E-2</v>
      </c>
      <c r="F12" s="10">
        <f t="shared" si="4"/>
        <v>4.5875109653455134E-2</v>
      </c>
      <c r="G12" s="10">
        <f t="shared" si="4"/>
        <v>4.5875109653455134E-2</v>
      </c>
      <c r="H12" s="13">
        <f t="shared" si="0"/>
        <v>0</v>
      </c>
      <c r="I12" s="9">
        <f t="shared" si="2"/>
        <v>0</v>
      </c>
      <c r="J12" s="57">
        <f t="shared" si="1"/>
        <v>-1.7281896509078007E-2</v>
      </c>
      <c r="K12" s="9">
        <f t="shared" si="3"/>
        <v>-0.27363387784093873</v>
      </c>
    </row>
    <row r="13" spans="1:11" ht="15.75" customHeight="1">
      <c r="A13" s="2" t="s">
        <v>69</v>
      </c>
      <c r="B13" s="7" t="s">
        <v>26</v>
      </c>
      <c r="C13" s="3" t="s">
        <v>23</v>
      </c>
      <c r="D13" s="10">
        <f>IF(D16=0,0,D10/D16)</f>
        <v>0.10256691884262122</v>
      </c>
      <c r="E13" s="10">
        <f t="shared" si="4"/>
        <v>0.10202283111166083</v>
      </c>
      <c r="F13" s="10">
        <f t="shared" si="4"/>
        <v>0.10170245324608142</v>
      </c>
      <c r="G13" s="10">
        <f t="shared" si="4"/>
        <v>0.10201685287392477</v>
      </c>
      <c r="H13" s="13">
        <f t="shared" si="0"/>
        <v>3.1439962784335362E-4</v>
      </c>
      <c r="I13" s="9">
        <f t="shared" si="2"/>
        <v>3.0913671972358976E-3</v>
      </c>
      <c r="J13" s="57">
        <f t="shared" si="1"/>
        <v>-5.5006596869644486E-4</v>
      </c>
      <c r="K13" s="9">
        <f t="shared" si="3"/>
        <v>-5.3629959338104584E-3</v>
      </c>
    </row>
    <row r="14" spans="1:11" ht="13.9" customHeight="1">
      <c r="A14" s="2">
        <v>4</v>
      </c>
      <c r="B14" s="6" t="s">
        <v>25</v>
      </c>
      <c r="C14" s="3" t="s">
        <v>62</v>
      </c>
      <c r="D14" s="11">
        <f>D16+D15</f>
        <v>1743967</v>
      </c>
      <c r="E14" s="11">
        <f>E16+E15</f>
        <v>1612427</v>
      </c>
      <c r="F14" s="11">
        <f>F16+F15</f>
        <v>1618110</v>
      </c>
      <c r="G14" s="11">
        <f>G16+G15</f>
        <v>1716622</v>
      </c>
      <c r="H14" s="13">
        <f t="shared" si="0"/>
        <v>98512</v>
      </c>
      <c r="I14" s="9">
        <f t="shared" si="2"/>
        <v>6.0880904264852202E-2</v>
      </c>
      <c r="J14" s="11">
        <f t="shared" si="1"/>
        <v>-27345</v>
      </c>
      <c r="K14" s="9">
        <f t="shared" si="3"/>
        <v>-1.5679769169944156E-2</v>
      </c>
    </row>
    <row r="15" spans="1:11">
      <c r="A15" s="2" t="s">
        <v>47</v>
      </c>
      <c r="B15" s="7" t="s">
        <v>27</v>
      </c>
      <c r="C15" s="3" t="s">
        <v>62</v>
      </c>
      <c r="D15" s="11">
        <f t="shared" ref="D15:G16" si="5">SUM(D6,D9)</f>
        <v>18503.917000000001</v>
      </c>
      <c r="E15" s="11">
        <f t="shared" si="5"/>
        <v>18146.942999999999</v>
      </c>
      <c r="F15" s="11">
        <f t="shared" si="5"/>
        <v>18146.942999999999</v>
      </c>
      <c r="G15" s="11">
        <f t="shared" si="5"/>
        <v>18146.942999999999</v>
      </c>
      <c r="H15" s="13">
        <f t="shared" si="0"/>
        <v>0</v>
      </c>
      <c r="I15" s="9">
        <f t="shared" si="2"/>
        <v>0</v>
      </c>
      <c r="J15" s="11">
        <f t="shared" si="1"/>
        <v>-356.97400000000198</v>
      </c>
      <c r="K15" s="9">
        <f t="shared" si="3"/>
        <v>-1.9291807242758491E-2</v>
      </c>
    </row>
    <row r="16" spans="1:11">
      <c r="A16" s="2" t="s">
        <v>70</v>
      </c>
      <c r="B16" s="7" t="s">
        <v>26</v>
      </c>
      <c r="C16" s="3" t="s">
        <v>62</v>
      </c>
      <c r="D16" s="11">
        <f t="shared" si="5"/>
        <v>1725463.0830000001</v>
      </c>
      <c r="E16" s="11">
        <f t="shared" si="5"/>
        <v>1594280.057</v>
      </c>
      <c r="F16" s="11">
        <f t="shared" si="5"/>
        <v>1599963.057</v>
      </c>
      <c r="G16" s="11">
        <f t="shared" si="5"/>
        <v>1698475.057</v>
      </c>
      <c r="H16" s="13">
        <f t="shared" si="0"/>
        <v>98512</v>
      </c>
      <c r="I16" s="9">
        <f t="shared" si="2"/>
        <v>6.1571421645643658E-2</v>
      </c>
      <c r="J16" s="11">
        <f t="shared" si="1"/>
        <v>-26988.026000000071</v>
      </c>
      <c r="K16" s="9">
        <f t="shared" si="3"/>
        <v>-1.5641033567103023E-2</v>
      </c>
    </row>
    <row r="17" spans="1:11">
      <c r="A17" s="2">
        <v>5</v>
      </c>
      <c r="B17" s="7" t="s">
        <v>63</v>
      </c>
      <c r="C17" s="3" t="s">
        <v>62</v>
      </c>
      <c r="D17" s="40"/>
      <c r="E17" s="40"/>
      <c r="F17" s="40"/>
      <c r="G17" s="40"/>
      <c r="H17" s="13">
        <f t="shared" ref="H17:H25" si="6">G17-F17</f>
        <v>0</v>
      </c>
      <c r="I17" s="9">
        <f t="shared" si="2"/>
        <v>0</v>
      </c>
      <c r="J17" s="11">
        <f t="shared" ref="J17:J25" si="7">G17-D17</f>
        <v>0</v>
      </c>
      <c r="K17" s="9">
        <f t="shared" si="3"/>
        <v>0</v>
      </c>
    </row>
    <row r="18" spans="1:11" ht="13.15" customHeight="1">
      <c r="A18" s="2">
        <v>6</v>
      </c>
      <c r="B18" s="49" t="s">
        <v>64</v>
      </c>
      <c r="C18" s="3" t="s">
        <v>62</v>
      </c>
      <c r="D18" s="40">
        <v>1743967</v>
      </c>
      <c r="E18" s="40">
        <v>1612427</v>
      </c>
      <c r="F18" s="40">
        <v>1618110</v>
      </c>
      <c r="G18" s="40">
        <v>1716622</v>
      </c>
      <c r="H18" s="13">
        <f t="shared" si="6"/>
        <v>98512</v>
      </c>
      <c r="I18" s="9">
        <f t="shared" si="2"/>
        <v>6.0880904264852202E-2</v>
      </c>
      <c r="J18" s="11">
        <f t="shared" si="7"/>
        <v>-27345</v>
      </c>
      <c r="K18" s="9">
        <f t="shared" si="3"/>
        <v>-1.5679769169944156E-2</v>
      </c>
    </row>
    <row r="19" spans="1:11" ht="13.15" customHeight="1">
      <c r="A19" s="2">
        <v>7</v>
      </c>
      <c r="B19" s="38" t="s">
        <v>20</v>
      </c>
      <c r="C19" s="39" t="s">
        <v>62</v>
      </c>
      <c r="D19" s="40">
        <v>675000</v>
      </c>
      <c r="E19" s="40">
        <v>577600.63100000005</v>
      </c>
      <c r="F19" s="40">
        <v>555472.10499999998</v>
      </c>
      <c r="G19" s="40">
        <v>620450</v>
      </c>
      <c r="H19" s="13">
        <f t="shared" si="6"/>
        <v>64977.895000000019</v>
      </c>
      <c r="I19" s="9">
        <f t="shared" si="2"/>
        <v>0.11697778234966456</v>
      </c>
      <c r="J19" s="11">
        <f t="shared" si="7"/>
        <v>-54550</v>
      </c>
      <c r="K19" s="9">
        <f t="shared" si="3"/>
        <v>-8.0814814814814812E-2</v>
      </c>
    </row>
    <row r="20" spans="1:11" ht="13.5" customHeight="1">
      <c r="A20" s="2" t="s">
        <v>71</v>
      </c>
      <c r="B20" s="62" t="s">
        <v>22</v>
      </c>
      <c r="C20" s="3" t="s">
        <v>62</v>
      </c>
      <c r="D20" s="11">
        <f>SUM(D19,-D22)</f>
        <v>185800</v>
      </c>
      <c r="E20" s="11">
        <f>SUM(E19,-E22)</f>
        <v>156792.61200000008</v>
      </c>
      <c r="F20" s="11">
        <f>SUM(F19,-F22)</f>
        <v>150818.10499999998</v>
      </c>
      <c r="G20" s="11">
        <f>SUM(G19,-G22)</f>
        <v>168450</v>
      </c>
      <c r="H20" s="13">
        <f t="shared" si="6"/>
        <v>17631.895000000019</v>
      </c>
      <c r="I20" s="9">
        <f t="shared" si="2"/>
        <v>0.11690834465795748</v>
      </c>
      <c r="J20" s="11">
        <f t="shared" si="7"/>
        <v>-17350</v>
      </c>
      <c r="K20" s="9">
        <f t="shared" si="3"/>
        <v>-9.3379978471474709E-2</v>
      </c>
    </row>
    <row r="21" spans="1:11">
      <c r="A21" s="2"/>
      <c r="B21" s="62"/>
      <c r="C21" s="3" t="s">
        <v>23</v>
      </c>
      <c r="D21" s="10">
        <f>IF(D19=0,0,D20/D19)</f>
        <v>0.27525925925925926</v>
      </c>
      <c r="E21" s="10">
        <f>IF(E19=0,0,E20/E19)</f>
        <v>0.27145505663410546</v>
      </c>
      <c r="F21" s="10">
        <f>IF(F19=0,0,F20/F19)</f>
        <v>0.27151337329531605</v>
      </c>
      <c r="G21" s="10">
        <f>IF(G19=0,0,G20/G19)</f>
        <v>0.27149649447981306</v>
      </c>
      <c r="H21" s="13">
        <f t="shared" si="6"/>
        <v>-1.6878815502996414E-5</v>
      </c>
      <c r="I21" s="9">
        <f t="shared" si="2"/>
        <v>-6.2165687450827287E-5</v>
      </c>
      <c r="J21" s="11">
        <f t="shared" si="7"/>
        <v>-3.7627647794462038E-3</v>
      </c>
      <c r="K21" s="9">
        <f t="shared" si="3"/>
        <v>-1.3669893574414357E-2</v>
      </c>
    </row>
    <row r="22" spans="1:11" ht="13.5" customHeight="1">
      <c r="A22" s="2" t="s">
        <v>72</v>
      </c>
      <c r="B22" s="6" t="s">
        <v>24</v>
      </c>
      <c r="C22" s="3" t="s">
        <v>62</v>
      </c>
      <c r="D22" s="11">
        <f>SUM(D23:D26)</f>
        <v>489200</v>
      </c>
      <c r="E22" s="11">
        <f>SUM(E23:E26)</f>
        <v>420808.01899999997</v>
      </c>
      <c r="F22" s="11">
        <f>SUM(F23:F26)</f>
        <v>404654</v>
      </c>
      <c r="G22" s="11">
        <f>SUM(G23:G26)</f>
        <v>452000</v>
      </c>
      <c r="H22" s="13">
        <f t="shared" si="6"/>
        <v>47346</v>
      </c>
      <c r="I22" s="9">
        <f t="shared" si="2"/>
        <v>0.11700366238811429</v>
      </c>
      <c r="J22" s="11">
        <f t="shared" si="7"/>
        <v>-37200</v>
      </c>
      <c r="K22" s="9">
        <f t="shared" si="3"/>
        <v>-7.6042518397383477E-2</v>
      </c>
    </row>
    <row r="23" spans="1:11" ht="13.9" customHeight="1">
      <c r="A23" s="2" t="s">
        <v>76</v>
      </c>
      <c r="B23" s="37" t="s">
        <v>73</v>
      </c>
      <c r="C23" s="3" t="s">
        <v>62</v>
      </c>
      <c r="D23" s="40">
        <f>489200-D26</f>
        <v>460000</v>
      </c>
      <c r="E23" s="40">
        <f>396253.883</f>
        <v>396253.88299999997</v>
      </c>
      <c r="F23" s="40">
        <v>381223</v>
      </c>
      <c r="G23" s="40">
        <v>430000</v>
      </c>
      <c r="H23" s="13">
        <f t="shared" si="6"/>
        <v>48777</v>
      </c>
      <c r="I23" s="9">
        <f t="shared" si="2"/>
        <v>0.12794873341849783</v>
      </c>
      <c r="J23" s="11">
        <f t="shared" si="7"/>
        <v>-30000</v>
      </c>
      <c r="K23" s="9">
        <f t="shared" si="3"/>
        <v>-6.5217391304347824E-2</v>
      </c>
    </row>
    <row r="24" spans="1:11" ht="12.6" customHeight="1">
      <c r="A24" s="2" t="s">
        <v>77</v>
      </c>
      <c r="B24" s="37" t="s">
        <v>74</v>
      </c>
      <c r="C24" s="3" t="s">
        <v>62</v>
      </c>
      <c r="D24" s="40"/>
      <c r="E24" s="40"/>
      <c r="F24" s="40"/>
      <c r="G24" s="40"/>
      <c r="H24" s="13">
        <f t="shared" si="6"/>
        <v>0</v>
      </c>
      <c r="I24" s="9">
        <f t="shared" si="2"/>
        <v>0</v>
      </c>
      <c r="J24" s="11">
        <f t="shared" si="7"/>
        <v>0</v>
      </c>
      <c r="K24" s="9">
        <f t="shared" si="3"/>
        <v>0</v>
      </c>
    </row>
    <row r="25" spans="1:11">
      <c r="A25" s="2" t="s">
        <v>78</v>
      </c>
      <c r="B25" s="37" t="s">
        <v>75</v>
      </c>
      <c r="C25" s="3" t="s">
        <v>62</v>
      </c>
      <c r="D25" s="40"/>
      <c r="E25" s="40"/>
      <c r="F25" s="40"/>
      <c r="G25" s="40"/>
      <c r="H25" s="13">
        <f t="shared" si="6"/>
        <v>0</v>
      </c>
      <c r="I25" s="9">
        <f t="shared" si="2"/>
        <v>0</v>
      </c>
      <c r="J25" s="11">
        <f t="shared" si="7"/>
        <v>0</v>
      </c>
      <c r="K25" s="9">
        <f t="shared" si="3"/>
        <v>0</v>
      </c>
    </row>
    <row r="26" spans="1:11">
      <c r="A26" s="2" t="s">
        <v>95</v>
      </c>
      <c r="B26" s="63" t="s">
        <v>94</v>
      </c>
      <c r="C26" s="3" t="s">
        <v>62</v>
      </c>
      <c r="D26" s="40">
        <v>29200</v>
      </c>
      <c r="E26" s="40">
        <f>24554.136</f>
        <v>24554.135999999999</v>
      </c>
      <c r="F26" s="40">
        <v>23431</v>
      </c>
      <c r="G26" s="40">
        <v>22000</v>
      </c>
      <c r="H26" s="13">
        <f>G26-F26</f>
        <v>-1431</v>
      </c>
      <c r="I26" s="9">
        <f>IF(F26=0,0,H26/F26)</f>
        <v>-6.1072937561350349E-2</v>
      </c>
      <c r="J26" s="11">
        <f>G26-D26</f>
        <v>-7200</v>
      </c>
      <c r="K26" s="9">
        <f>IF(D26=0,0,J26/D26)</f>
        <v>-0.24657534246575341</v>
      </c>
    </row>
    <row r="27" spans="1:11">
      <c r="A27" s="2"/>
      <c r="B27" s="64"/>
      <c r="C27" s="3" t="s">
        <v>23</v>
      </c>
      <c r="D27" s="10">
        <f>IF(D19=0,0,D26/D19)</f>
        <v>4.3259259259259261E-2</v>
      </c>
      <c r="E27" s="10">
        <f>IF(E19=0,0,E26/E19)</f>
        <v>4.2510576827953631E-2</v>
      </c>
      <c r="F27" s="10">
        <f>IF(F19=0,0,F26/F19)</f>
        <v>4.2182136220863871E-2</v>
      </c>
      <c r="G27" s="10">
        <f>IF(G19=0,0,G26/G19)</f>
        <v>3.5458135224433876E-2</v>
      </c>
      <c r="H27" s="13">
        <f>G27-F27</f>
        <v>-6.7240009964299949E-3</v>
      </c>
      <c r="I27" s="9">
        <f>IF(F27=0,0,H27/F27)</f>
        <v>-0.15940399417477133</v>
      </c>
      <c r="J27" s="11">
        <f>G27-D27</f>
        <v>-7.8011240348253852E-3</v>
      </c>
      <c r="K27" s="9">
        <f>IF(D27=0,0,J27/D27)</f>
        <v>-0.18033420285983337</v>
      </c>
    </row>
    <row r="28" spans="1:11">
      <c r="A28" s="2">
        <v>8</v>
      </c>
      <c r="B28" s="43" t="s">
        <v>83</v>
      </c>
      <c r="C28" s="3" t="s">
        <v>62</v>
      </c>
      <c r="D28" s="40">
        <v>2829195.932</v>
      </c>
      <c r="E28" s="40">
        <v>2558536.5431730812</v>
      </c>
      <c r="F28" s="40">
        <v>2537937.8457519305</v>
      </c>
      <c r="G28" s="40">
        <v>2731042.4579205811</v>
      </c>
      <c r="H28" s="13">
        <f t="shared" ref="H28:H33" si="8">G28-F28</f>
        <v>193104.61216865061</v>
      </c>
      <c r="I28" s="9">
        <f t="shared" ref="I28:I33" si="9">IF(F28=0,0,H28/F28)</f>
        <v>7.6087210918846723E-2</v>
      </c>
      <c r="J28" s="11">
        <f t="shared" ref="J28:J33" si="10">G28-D28</f>
        <v>-98153.474079418927</v>
      </c>
      <c r="K28" s="9">
        <f t="shared" ref="K28:K33" si="11">IF(D28=0,0,J28/D28)</f>
        <v>-3.4693063484660391E-2</v>
      </c>
    </row>
    <row r="29" spans="1:11">
      <c r="A29" s="2" t="s">
        <v>85</v>
      </c>
      <c r="B29" s="42" t="s">
        <v>82</v>
      </c>
      <c r="C29" s="3" t="s">
        <v>62</v>
      </c>
      <c r="D29" s="40"/>
      <c r="E29" s="40"/>
      <c r="F29" s="40"/>
      <c r="G29" s="40"/>
      <c r="H29" s="13">
        <f t="shared" si="8"/>
        <v>0</v>
      </c>
      <c r="I29" s="9">
        <f t="shared" si="9"/>
        <v>0</v>
      </c>
      <c r="J29" s="11">
        <f t="shared" si="10"/>
        <v>0</v>
      </c>
      <c r="K29" s="9">
        <f t="shared" si="11"/>
        <v>0</v>
      </c>
    </row>
    <row r="30" spans="1:11">
      <c r="A30" s="2" t="s">
        <v>86</v>
      </c>
      <c r="B30" s="42" t="s">
        <v>84</v>
      </c>
      <c r="C30" s="3" t="s">
        <v>62</v>
      </c>
      <c r="D30" s="11">
        <f>SUM(D28,-D29)</f>
        <v>2829195.932</v>
      </c>
      <c r="E30" s="11">
        <f>SUM(E28,-E29)</f>
        <v>2558536.5431730812</v>
      </c>
      <c r="F30" s="11">
        <f>SUM(F28,-F29)</f>
        <v>2537937.8457519305</v>
      </c>
      <c r="G30" s="11">
        <f>SUM(G28,-G29)</f>
        <v>2731042.4579205811</v>
      </c>
      <c r="H30" s="13">
        <f t="shared" si="8"/>
        <v>193104.61216865061</v>
      </c>
      <c r="I30" s="9">
        <f t="shared" si="9"/>
        <v>7.6087210918846723E-2</v>
      </c>
      <c r="J30" s="11">
        <f t="shared" si="10"/>
        <v>-98153.474079418927</v>
      </c>
      <c r="K30" s="9">
        <f t="shared" si="11"/>
        <v>-3.4693063484660391E-2</v>
      </c>
    </row>
    <row r="31" spans="1:11">
      <c r="A31" s="2">
        <v>9</v>
      </c>
      <c r="B31" s="41" t="s">
        <v>79</v>
      </c>
      <c r="C31" s="3" t="s">
        <v>23</v>
      </c>
      <c r="D31" s="44">
        <f>IF(D29=0,0,SUM(D5,-D17,-D18,D19)/D29)</f>
        <v>0</v>
      </c>
      <c r="E31" s="44">
        <f>IF(E29=0,0,SUM(E5,-E17,-E18,E19)/E29)</f>
        <v>0</v>
      </c>
      <c r="F31" s="44">
        <f>IF(F29=0,0,SUM(F5,-F17,-F18,F19)/F29)</f>
        <v>0</v>
      </c>
      <c r="G31" s="44">
        <f>IF(G29=0,0,SUM(G5,-G17,-G18,G19)/G29)</f>
        <v>0</v>
      </c>
      <c r="H31" s="13">
        <f t="shared" si="8"/>
        <v>0</v>
      </c>
      <c r="I31" s="9">
        <f t="shared" si="9"/>
        <v>0</v>
      </c>
      <c r="J31" s="11">
        <f t="shared" si="10"/>
        <v>0</v>
      </c>
      <c r="K31" s="9">
        <f t="shared" si="11"/>
        <v>0</v>
      </c>
    </row>
    <row r="32" spans="1:11">
      <c r="A32" s="2">
        <v>10</v>
      </c>
      <c r="B32" s="41" t="s">
        <v>80</v>
      </c>
      <c r="C32" s="3" t="s">
        <v>23</v>
      </c>
      <c r="D32" s="44">
        <f>IF(D29=0,0,SUM(D5,-D17,-D18)/D29)</f>
        <v>0</v>
      </c>
      <c r="E32" s="44">
        <f>IF(E29=0,0,SUM(E5,-E17,-E18)/E29)</f>
        <v>0</v>
      </c>
      <c r="F32" s="44">
        <f>IF(F29=0,0,SUM(F5,-F17,-F18)/F29)</f>
        <v>0</v>
      </c>
      <c r="G32" s="44">
        <f>IF(G29=0,0,SUM(G5,-G17,-G18)/G29)</f>
        <v>0</v>
      </c>
      <c r="H32" s="13">
        <f t="shared" si="8"/>
        <v>0</v>
      </c>
      <c r="I32" s="9">
        <f t="shared" si="9"/>
        <v>0</v>
      </c>
      <c r="J32" s="11">
        <f t="shared" si="10"/>
        <v>0</v>
      </c>
      <c r="K32" s="9">
        <f t="shared" si="11"/>
        <v>0</v>
      </c>
    </row>
    <row r="33" spans="1:11">
      <c r="A33" s="2">
        <v>11</v>
      </c>
      <c r="B33" s="41" t="s">
        <v>81</v>
      </c>
      <c r="C33" s="3" t="s">
        <v>23</v>
      </c>
      <c r="D33" s="44">
        <f>IF(D29=0,0,D19/D29)</f>
        <v>0</v>
      </c>
      <c r="E33" s="44">
        <f>IF(E29=0,0,E19/E29)</f>
        <v>0</v>
      </c>
      <c r="F33" s="44">
        <f>IF(F29=0,0,F19/F29)</f>
        <v>0</v>
      </c>
      <c r="G33" s="44">
        <f>IF(G29=0,0,G19/G29)</f>
        <v>0</v>
      </c>
      <c r="H33" s="13">
        <f t="shared" si="8"/>
        <v>0</v>
      </c>
      <c r="I33" s="9">
        <f t="shared" si="9"/>
        <v>0</v>
      </c>
      <c r="J33" s="11">
        <f t="shared" si="10"/>
        <v>0</v>
      </c>
      <c r="K33" s="9">
        <f t="shared" si="11"/>
        <v>0</v>
      </c>
    </row>
    <row r="34" spans="1:11">
      <c r="A34" s="2">
        <v>12</v>
      </c>
      <c r="B34" s="4" t="s">
        <v>87</v>
      </c>
      <c r="C34" s="3" t="s">
        <v>23</v>
      </c>
      <c r="D34" s="44">
        <f>IF(D30=0,0,SUM(D17,D18)/D30)</f>
        <v>0.61641789466562824</v>
      </c>
      <c r="E34" s="44">
        <f>IF(E30=0,0,SUM(E17,E18)/E30)</f>
        <v>0.6302145671135414</v>
      </c>
      <c r="F34" s="44">
        <f>IF(F30=0,0,SUM(F17,F18)/F30)</f>
        <v>0.63756880520475967</v>
      </c>
      <c r="G34" s="44">
        <f>IF(G30=0,0,SUM(G17,G18)/G30)</f>
        <v>0.62855925034099913</v>
      </c>
      <c r="H34" s="13">
        <f>G34-F34</f>
        <v>-9.0095548637605383E-3</v>
      </c>
      <c r="I34" s="9">
        <f>IF(F34=0,0,H34/F34)</f>
        <v>-1.4131109913489348E-2</v>
      </c>
      <c r="J34" s="11">
        <f>G34-D34</f>
        <v>1.2141355675370891E-2</v>
      </c>
      <c r="K34" s="9">
        <f>IF(D34=0,0,J34/D34)</f>
        <v>1.969663077668582E-2</v>
      </c>
    </row>
    <row r="35" spans="1:11" ht="13.9" customHeight="1">
      <c r="A35" s="2">
        <v>8</v>
      </c>
      <c r="B35" s="6" t="s">
        <v>30</v>
      </c>
      <c r="C35" s="3" t="s">
        <v>89</v>
      </c>
      <c r="D35" s="40">
        <v>253.85</v>
      </c>
      <c r="E35" s="40">
        <v>213.71</v>
      </c>
      <c r="F35" s="40">
        <v>220.43</v>
      </c>
      <c r="G35" s="40">
        <v>212.37</v>
      </c>
      <c r="H35" s="13">
        <f>G35-F35</f>
        <v>-8.0600000000000023</v>
      </c>
      <c r="I35" s="9">
        <f>IF(F35=0,0,H35/F35)</f>
        <v>-3.6564895885315078E-2</v>
      </c>
      <c r="J35" s="11">
        <f>G35-D35</f>
        <v>-41.47999999999999</v>
      </c>
      <c r="K35" s="9">
        <f>IF(D35=0,0,J35/D35)</f>
        <v>-0.16340358479416975</v>
      </c>
    </row>
    <row r="36" spans="1:11" ht="13.9" customHeight="1">
      <c r="A36" s="2">
        <v>9</v>
      </c>
      <c r="B36" s="6" t="s">
        <v>31</v>
      </c>
      <c r="C36" s="3" t="s">
        <v>88</v>
      </c>
      <c r="D36" s="40">
        <v>101.06</v>
      </c>
      <c r="E36" s="40">
        <v>118.39</v>
      </c>
      <c r="F36" s="40">
        <v>117.02</v>
      </c>
      <c r="G36" s="40">
        <v>118.7</v>
      </c>
      <c r="H36" s="13">
        <f>G36-F36</f>
        <v>1.6800000000000068</v>
      </c>
      <c r="I36" s="9">
        <f>IF(F36=0,0,H36/F36)</f>
        <v>1.4356520252948273E-2</v>
      </c>
      <c r="J36" s="11">
        <f>G36-D36</f>
        <v>17.64</v>
      </c>
      <c r="K36" s="9">
        <f>IF(D36=0,0,J36/D36)</f>
        <v>0.17454977241242825</v>
      </c>
    </row>
    <row r="37" spans="1:11" customFormat="1" ht="3.75" customHeight="1"/>
    <row r="38" spans="1:11" ht="13.9" customHeight="1">
      <c r="A38" s="2">
        <v>10</v>
      </c>
      <c r="B38" s="6" t="s">
        <v>35</v>
      </c>
      <c r="C38" s="3" t="s">
        <v>21</v>
      </c>
      <c r="D38" s="11">
        <f>D39+D40+D48+D49</f>
        <v>1561704.7340000002</v>
      </c>
      <c r="E38" s="11">
        <f>E40+E39+E48+E49</f>
        <v>1444589.1939999999</v>
      </c>
      <c r="F38" s="11">
        <f>F40+F39+F48+F49</f>
        <v>1450204.9909999999</v>
      </c>
      <c r="G38" s="11">
        <f>G40+G39+G48+G49</f>
        <v>1538164.0789999999</v>
      </c>
      <c r="H38" s="13">
        <f>G38-F38</f>
        <v>87959.087999999989</v>
      </c>
      <c r="I38" s="9">
        <f t="shared" ref="I38:I46" si="12">IF(F38=0,0,H38/F38)</f>
        <v>6.0652865316197214E-2</v>
      </c>
      <c r="J38" s="11">
        <f t="shared" ref="J38:J46" si="13">G38-D38</f>
        <v>-23540.655000000261</v>
      </c>
      <c r="K38" s="9">
        <f t="shared" ref="K38:K46" si="14">IF(D38=0,0,J38/D38)</f>
        <v>-1.5073691260258586E-2</v>
      </c>
    </row>
    <row r="39" spans="1:11">
      <c r="A39" s="2" t="s">
        <v>90</v>
      </c>
      <c r="B39" s="7" t="s">
        <v>27</v>
      </c>
      <c r="C39" s="3" t="s">
        <v>21</v>
      </c>
      <c r="D39" s="40">
        <v>13217.083000000001</v>
      </c>
      <c r="E39" s="40">
        <v>12962.102000000001</v>
      </c>
      <c r="F39" s="40">
        <v>12962.102000000001</v>
      </c>
      <c r="G39" s="40">
        <v>12962.102000000001</v>
      </c>
      <c r="H39" s="13">
        <f>G39-F39</f>
        <v>0</v>
      </c>
      <c r="I39" s="9">
        <f t="shared" si="12"/>
        <v>0</v>
      </c>
      <c r="J39" s="11">
        <f t="shared" si="13"/>
        <v>-254.98099999999977</v>
      </c>
      <c r="K39" s="9">
        <f t="shared" si="14"/>
        <v>-1.9291775651253742E-2</v>
      </c>
    </row>
    <row r="40" spans="1:11">
      <c r="A40" s="2" t="s">
        <v>91</v>
      </c>
      <c r="B40" s="7" t="s">
        <v>26</v>
      </c>
      <c r="C40" s="3" t="s">
        <v>21</v>
      </c>
      <c r="D40" s="40"/>
      <c r="E40" s="40"/>
      <c r="F40" s="40"/>
      <c r="G40" s="40"/>
      <c r="H40" s="13">
        <f>G40-F40</f>
        <v>0</v>
      </c>
      <c r="I40" s="9">
        <f t="shared" si="12"/>
        <v>0</v>
      </c>
      <c r="J40" s="11">
        <f t="shared" si="13"/>
        <v>0</v>
      </c>
      <c r="K40" s="9">
        <f t="shared" si="14"/>
        <v>0</v>
      </c>
    </row>
    <row r="41" spans="1:11" ht="12.75" customHeight="1">
      <c r="A41" s="35">
        <v>11</v>
      </c>
      <c r="B41" s="62" t="s">
        <v>32</v>
      </c>
      <c r="C41" s="3" t="s">
        <v>62</v>
      </c>
      <c r="D41" s="12">
        <f>D45+D43</f>
        <v>4118.1819999999989</v>
      </c>
      <c r="E41" s="12">
        <f>E45+E43</f>
        <v>4352.348</v>
      </c>
      <c r="F41" s="12">
        <f>F45+F43</f>
        <v>4352.348</v>
      </c>
      <c r="G41" s="12">
        <f>G45+G43</f>
        <v>4352.348</v>
      </c>
      <c r="H41" s="13">
        <f t="shared" ref="H41:H49" si="15">G41-F41</f>
        <v>0</v>
      </c>
      <c r="I41" s="9">
        <f t="shared" si="12"/>
        <v>0</v>
      </c>
      <c r="J41" s="11">
        <f t="shared" si="13"/>
        <v>234.16600000000108</v>
      </c>
      <c r="K41" s="9">
        <f t="shared" si="14"/>
        <v>5.6861498593311598E-2</v>
      </c>
    </row>
    <row r="42" spans="1:11" ht="12" customHeight="1">
      <c r="A42" s="36"/>
      <c r="B42" s="62"/>
      <c r="C42" s="3" t="s">
        <v>23</v>
      </c>
      <c r="D42" s="10">
        <f>IF(D5=0,0,D41/D5)</f>
        <v>2.6300432557981538E-3</v>
      </c>
      <c r="E42" s="10">
        <f>IF(E5=0,0,E41/E5)</f>
        <v>3.0038120061023142E-3</v>
      </c>
      <c r="F42" s="10">
        <f>IF(F5=0,0,F41/F5)</f>
        <v>2.9922148019219477E-3</v>
      </c>
      <c r="G42" s="10">
        <f>IF(G5=0,0,G41/G5)</f>
        <v>2.8215894001626736E-3</v>
      </c>
      <c r="H42" s="13">
        <f t="shared" si="15"/>
        <v>-1.7062540175927406E-4</v>
      </c>
      <c r="I42" s="9">
        <f t="shared" si="12"/>
        <v>-5.7023112662125265E-2</v>
      </c>
      <c r="J42" s="11">
        <f t="shared" si="13"/>
        <v>1.9154614436451981E-4</v>
      </c>
      <c r="K42" s="9">
        <f t="shared" si="14"/>
        <v>7.2830035757868269E-2</v>
      </c>
    </row>
    <row r="43" spans="1:11" ht="14.25" customHeight="1">
      <c r="A43" s="35">
        <v>12</v>
      </c>
      <c r="B43" s="62" t="s">
        <v>34</v>
      </c>
      <c r="C43" s="3" t="s">
        <v>21</v>
      </c>
      <c r="D43" s="11">
        <f>SUM(D6,-D39,-D48)</f>
        <v>4118.1819999999989</v>
      </c>
      <c r="E43" s="11">
        <f>SUM(E6,-E39,-E48)</f>
        <v>4352.348</v>
      </c>
      <c r="F43" s="11">
        <f>SUM(F6,-F39,-F48)</f>
        <v>4352.348</v>
      </c>
      <c r="G43" s="11">
        <f>SUM(G6,-G39,-G48)</f>
        <v>4352.348</v>
      </c>
      <c r="H43" s="13">
        <f>G43-F43</f>
        <v>0</v>
      </c>
      <c r="I43" s="9">
        <f t="shared" si="12"/>
        <v>0</v>
      </c>
      <c r="J43" s="11">
        <f t="shared" si="13"/>
        <v>234.16600000000108</v>
      </c>
      <c r="K43" s="9">
        <f t="shared" si="14"/>
        <v>5.6861498593311598E-2</v>
      </c>
    </row>
    <row r="44" spans="1:11">
      <c r="A44" s="36"/>
      <c r="B44" s="62"/>
      <c r="C44" s="3" t="s">
        <v>23</v>
      </c>
      <c r="D44" s="10">
        <f>IF(D6=0,0,D43/D6)</f>
        <v>0.23756094873657824</v>
      </c>
      <c r="E44" s="10">
        <f>IF(E6=0,0,E43/E6)</f>
        <v>0.25137084920398856</v>
      </c>
      <c r="F44" s="10">
        <f>IF(F6=0,0,F43/F6)</f>
        <v>0.25137084920398856</v>
      </c>
      <c r="G44" s="10">
        <f>IF(G6=0,0,G43/G6)</f>
        <v>0.25137084920398856</v>
      </c>
      <c r="H44" s="13">
        <f>G44-F44</f>
        <v>0</v>
      </c>
      <c r="I44" s="9">
        <f t="shared" si="12"/>
        <v>0</v>
      </c>
      <c r="J44" s="11">
        <f t="shared" si="13"/>
        <v>1.3809900467410319E-2</v>
      </c>
      <c r="K44" s="9">
        <f t="shared" si="14"/>
        <v>5.8132031130771249E-2</v>
      </c>
    </row>
    <row r="45" spans="1:11" ht="14.25" customHeight="1">
      <c r="A45" s="35">
        <v>13</v>
      </c>
      <c r="B45" s="62" t="s">
        <v>33</v>
      </c>
      <c r="C45" s="3" t="s">
        <v>21</v>
      </c>
      <c r="D45" s="11">
        <f>SUM(D7,-D40,-D49)</f>
        <v>0</v>
      </c>
      <c r="E45" s="11">
        <f>SUM(E7,-E40,-E49)</f>
        <v>0</v>
      </c>
      <c r="F45" s="11">
        <f>SUM(F7,-F40,-F49)</f>
        <v>0</v>
      </c>
      <c r="G45" s="11">
        <f>SUM(G7,-G40,-G49)</f>
        <v>0</v>
      </c>
      <c r="H45" s="13">
        <f t="shared" si="15"/>
        <v>0</v>
      </c>
      <c r="I45" s="9">
        <f t="shared" si="12"/>
        <v>0</v>
      </c>
      <c r="J45" s="11">
        <f t="shared" si="13"/>
        <v>0</v>
      </c>
      <c r="K45" s="9">
        <f t="shared" si="14"/>
        <v>0</v>
      </c>
    </row>
    <row r="46" spans="1:11">
      <c r="A46" s="36"/>
      <c r="B46" s="62"/>
      <c r="C46" s="3" t="s">
        <v>23</v>
      </c>
      <c r="D46" s="10">
        <f>IF(D7=0,0,D45/D7)</f>
        <v>0</v>
      </c>
      <c r="E46" s="10">
        <f>IF(E7=0,0,E45/E7)</f>
        <v>0</v>
      </c>
      <c r="F46" s="10">
        <f>IF(F7=0,0,F45/F7)</f>
        <v>0</v>
      </c>
      <c r="G46" s="10">
        <f>IF(G7=0,0,G45/G7)</f>
        <v>0</v>
      </c>
      <c r="H46" s="13">
        <f t="shared" si="15"/>
        <v>0</v>
      </c>
      <c r="I46" s="9">
        <f t="shared" si="12"/>
        <v>0</v>
      </c>
      <c r="J46" s="11">
        <f t="shared" si="13"/>
        <v>0</v>
      </c>
      <c r="K46" s="9">
        <f t="shared" si="14"/>
        <v>0</v>
      </c>
    </row>
    <row r="47" spans="1:11">
      <c r="A47" s="35">
        <v>14</v>
      </c>
      <c r="B47" s="54" t="s">
        <v>92</v>
      </c>
      <c r="C47" s="3" t="s">
        <v>62</v>
      </c>
      <c r="D47" s="56">
        <f>D48+D49</f>
        <v>1548487.6510000001</v>
      </c>
      <c r="E47" s="56">
        <f>E48+E49</f>
        <v>1431627.0919999999</v>
      </c>
      <c r="F47" s="56">
        <f>F48+F49</f>
        <v>1437242.889</v>
      </c>
      <c r="G47" s="56">
        <f>G48+G49</f>
        <v>1525201.977</v>
      </c>
      <c r="H47" s="13">
        <f t="shared" si="15"/>
        <v>87959.087999999989</v>
      </c>
      <c r="I47" s="9">
        <f>IF(F47=0,0,H47/F47)</f>
        <v>6.1199876981962227E-2</v>
      </c>
      <c r="J47" s="11">
        <f>G47-D47</f>
        <v>-23285.674000000115</v>
      </c>
      <c r="K47" s="9">
        <f>IF(D47=0,0,J47/D47)</f>
        <v>-1.5037687891771321E-2</v>
      </c>
    </row>
    <row r="48" spans="1:11">
      <c r="A48" s="52"/>
      <c r="B48" s="55" t="s">
        <v>27</v>
      </c>
      <c r="C48" s="3" t="s">
        <v>62</v>
      </c>
      <c r="D48" s="40"/>
      <c r="E48" s="40"/>
      <c r="F48" s="40"/>
      <c r="G48" s="40"/>
      <c r="H48" s="13">
        <f t="shared" si="15"/>
        <v>0</v>
      </c>
      <c r="I48" s="9">
        <f>IF(F48=0,0,H48/F48)</f>
        <v>0</v>
      </c>
      <c r="J48" s="11">
        <f>G48-D48</f>
        <v>0</v>
      </c>
      <c r="K48" s="9">
        <f>IF(D48=0,0,J48/D48)</f>
        <v>0</v>
      </c>
    </row>
    <row r="49" spans="1:17">
      <c r="A49" s="53"/>
      <c r="B49" s="55" t="s">
        <v>93</v>
      </c>
      <c r="C49" s="3" t="s">
        <v>62</v>
      </c>
      <c r="D49" s="40">
        <v>1548487.6510000001</v>
      </c>
      <c r="E49" s="40">
        <v>1431627.0919999999</v>
      </c>
      <c r="F49" s="40">
        <v>1437242.889</v>
      </c>
      <c r="G49" s="40">
        <v>1525201.977</v>
      </c>
      <c r="H49" s="13">
        <f t="shared" si="15"/>
        <v>87959.087999999989</v>
      </c>
      <c r="I49" s="9">
        <f>IF(F49=0,0,H49/F49)</f>
        <v>6.1199876981962227E-2</v>
      </c>
      <c r="J49" s="11">
        <f>G49-D49</f>
        <v>-23285.674000000115</v>
      </c>
      <c r="K49" s="9">
        <f>IF(D49=0,0,J49/D49)</f>
        <v>-1.5037687891771321E-2</v>
      </c>
    </row>
    <row r="50" spans="1:17">
      <c r="D50" s="51"/>
      <c r="E50" s="51"/>
      <c r="F50" s="51"/>
      <c r="G50" s="51"/>
    </row>
    <row r="51" spans="1:17">
      <c r="D51" s="51"/>
      <c r="E51" s="51"/>
      <c r="F51" s="51"/>
      <c r="G51" s="51"/>
    </row>
    <row r="52" spans="1:17" s="32" customFormat="1">
      <c r="A52" s="28"/>
      <c r="B52" s="28" t="s">
        <v>102</v>
      </c>
      <c r="C52" s="29"/>
      <c r="D52" s="29"/>
      <c r="E52" s="30" t="s">
        <v>59</v>
      </c>
      <c r="F52" s="31"/>
      <c r="G52" s="31"/>
      <c r="H52" s="31"/>
      <c r="O52" s="29"/>
      <c r="P52" s="29"/>
      <c r="Q52" s="33"/>
    </row>
    <row r="53" spans="1:17" s="32" customFormat="1">
      <c r="B53" s="48"/>
      <c r="F53" s="34" t="s">
        <v>98</v>
      </c>
      <c r="H53" s="59"/>
    </row>
    <row r="54" spans="1:17">
      <c r="H54" s="50"/>
    </row>
    <row r="55" spans="1:17">
      <c r="D55" s="50"/>
    </row>
    <row r="56" spans="1:17"/>
    <row r="57" spans="1:17"/>
    <row r="58" spans="1:17"/>
    <row r="59" spans="1:17"/>
    <row r="60" spans="1:17"/>
    <row r="61" spans="1:17"/>
    <row r="62" spans="1:17"/>
    <row r="63" spans="1:17"/>
    <row r="64" spans="1:1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</sheetData>
  <mergeCells count="5">
    <mergeCell ref="B20:B21"/>
    <mergeCell ref="B41:B42"/>
    <mergeCell ref="B45:B46"/>
    <mergeCell ref="B43:B44"/>
    <mergeCell ref="B26:B27"/>
  </mergeCells>
  <phoneticPr fontId="4" type="noConversion"/>
  <printOptions horizontalCentered="1"/>
  <pageMargins left="0.55118110236220474" right="0.55118110236220474" top="0.39370078740157483" bottom="0.19685039370078741" header="0.11811023622047245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petrova</cp:lastModifiedBy>
  <cp:lastPrinted>2019-03-28T13:01:26Z</cp:lastPrinted>
  <dcterms:created xsi:type="dcterms:W3CDTF">2010-02-26T16:01:02Z</dcterms:created>
  <dcterms:modified xsi:type="dcterms:W3CDTF">2019-03-28T14:02:44Z</dcterms:modified>
</cp:coreProperties>
</file>