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35" windowWidth="19185" windowHeight="8835" activeTab="1"/>
  </bookViews>
  <sheets>
    <sheet name="Означения" sheetId="2" r:id="rId1"/>
    <sheet name="Справка по чл_ 4_ ал_ 5" sheetId="1" r:id="rId2"/>
  </sheets>
  <definedNames>
    <definedName name="_xlnm.Print_Area" localSheetId="0">Означения!$A$1:$AA$149</definedName>
    <definedName name="_xlnm.Print_Area" localSheetId="1">'Справка по чл_ 4_ ал_ 5'!$A$1:$AS$164</definedName>
    <definedName name="_xlnm.Print_Titles" localSheetId="1">'Справка по чл_ 4_ ал_ 5'!$1:$2</definedName>
  </definedNames>
  <calcPr calcId="145621"/>
</workbook>
</file>

<file path=xl/calcChain.xml><?xml version="1.0" encoding="utf-8"?>
<calcChain xmlns="http://schemas.openxmlformats.org/spreadsheetml/2006/main">
  <c r="AI12" i="1" l="1"/>
  <c r="AH12" i="1"/>
  <c r="AI11" i="1"/>
  <c r="AH11" i="1"/>
  <c r="AI10" i="1"/>
  <c r="AH10" i="1"/>
  <c r="AI9" i="1"/>
  <c r="AH9" i="1"/>
  <c r="M5" i="1" l="1"/>
  <c r="M4" i="1"/>
  <c r="AK102" i="1" l="1"/>
  <c r="AH102" i="1"/>
  <c r="AE102" i="1"/>
  <c r="AB102" i="1"/>
  <c r="Y102" i="1"/>
  <c r="S102" i="1"/>
  <c r="AK101" i="1"/>
  <c r="AH101" i="1"/>
  <c r="AE101" i="1"/>
  <c r="AB101" i="1"/>
  <c r="Y101" i="1"/>
  <c r="S101" i="1"/>
  <c r="AQ102" i="1" l="1"/>
  <c r="AQ101" i="1"/>
  <c r="AP107" i="1" l="1"/>
  <c r="X7" i="1" l="1"/>
  <c r="W7" i="1"/>
  <c r="AO3" i="1" l="1"/>
  <c r="N117" i="1" l="1"/>
  <c r="AP117" i="1" l="1"/>
  <c r="AQ117" i="1" s="1"/>
  <c r="AR117" i="1" s="1"/>
  <c r="AS117" i="1" s="1"/>
  <c r="AJ117" i="1"/>
  <c r="AK117" i="1" s="1"/>
  <c r="AL117" i="1" s="1"/>
  <c r="AM117" i="1" s="1"/>
  <c r="AD117" i="1"/>
  <c r="AE117" i="1" s="1"/>
  <c r="AF117" i="1" s="1"/>
  <c r="AG117" i="1" s="1"/>
  <c r="O117" i="1"/>
  <c r="P117" i="1" s="1"/>
  <c r="Q117" i="1" s="1"/>
  <c r="A5" i="1" l="1"/>
  <c r="AO113" i="1" l="1"/>
  <c r="AI113" i="1"/>
  <c r="AC113" i="1"/>
  <c r="M113" i="1"/>
  <c r="P13" i="1" l="1"/>
  <c r="G13" i="1" s="1"/>
  <c r="D13" i="1"/>
  <c r="C13" i="1"/>
  <c r="G12" i="1"/>
  <c r="E12" i="1"/>
  <c r="G11" i="1"/>
  <c r="E11" i="1"/>
  <c r="G10" i="1"/>
  <c r="E10" i="1"/>
  <c r="G9" i="1"/>
  <c r="E9" i="1"/>
  <c r="S7" i="1"/>
  <c r="P7" i="1"/>
  <c r="A4" i="1"/>
  <c r="G4" i="1" s="1"/>
  <c r="E13" i="1" l="1"/>
  <c r="W112" i="1"/>
  <c r="W113" i="1" s="1"/>
  <c r="B120" i="1"/>
  <c r="AQ122" i="1"/>
  <c r="U130" i="1"/>
  <c r="X130" i="1" s="1"/>
  <c r="AE130" i="1"/>
  <c r="AH130" i="1"/>
  <c r="AO130" i="1"/>
  <c r="AE131" i="1"/>
  <c r="AH131" i="1"/>
  <c r="X132" i="1"/>
  <c r="X133" i="1"/>
  <c r="X134" i="1"/>
  <c r="Z136" i="1"/>
  <c r="AJ136" i="1"/>
  <c r="E105" i="1" l="1"/>
  <c r="E104" i="1" l="1"/>
  <c r="E103" i="1"/>
  <c r="E102" i="1"/>
  <c r="E101" i="1"/>
  <c r="E99" i="1"/>
  <c r="E98" i="1"/>
  <c r="E97" i="1"/>
  <c r="E96" i="1"/>
  <c r="AQ105" i="1"/>
  <c r="AN105" i="1"/>
  <c r="AQ104" i="1"/>
  <c r="AN104" i="1"/>
  <c r="AQ103" i="1"/>
  <c r="AN103" i="1"/>
  <c r="AQ100" i="1"/>
  <c r="AN100" i="1"/>
  <c r="AK100" i="1"/>
  <c r="AK103" i="1" s="1"/>
  <c r="AH100" i="1"/>
  <c r="AH104" i="1" s="1"/>
  <c r="AE100" i="1"/>
  <c r="AE104" i="1" s="1"/>
  <c r="S100" i="1"/>
  <c r="S104" i="1" s="1"/>
  <c r="AQ99" i="1"/>
  <c r="AN99" i="1"/>
  <c r="AK99" i="1"/>
  <c r="AH99" i="1"/>
  <c r="AE99" i="1"/>
  <c r="S99" i="1"/>
  <c r="AQ98" i="1"/>
  <c r="AN98" i="1"/>
  <c r="AK98" i="1"/>
  <c r="AH98" i="1"/>
  <c r="AE98" i="1"/>
  <c r="S98" i="1"/>
  <c r="AQ97" i="1"/>
  <c r="AN97" i="1"/>
  <c r="AK97" i="1"/>
  <c r="AH97" i="1"/>
  <c r="AE97" i="1"/>
  <c r="S97" i="1"/>
  <c r="AQ96" i="1"/>
  <c r="AN96" i="1"/>
  <c r="AH103" i="1" l="1"/>
  <c r="S103" i="1"/>
  <c r="AE103" i="1"/>
  <c r="AK104" i="1"/>
  <c r="E95" i="1" l="1"/>
  <c r="J89" i="1"/>
  <c r="F89" i="1"/>
  <c r="F88" i="1"/>
  <c r="AQ87" i="1"/>
  <c r="AN87" i="1"/>
  <c r="AN85" i="1" l="1"/>
  <c r="AB85" i="1"/>
  <c r="S85" i="1"/>
  <c r="S87" i="1" s="1"/>
  <c r="S95" i="1" s="1"/>
  <c r="P85" i="1"/>
  <c r="AQ81" i="1"/>
  <c r="AN81" i="1"/>
  <c r="AN102" i="1" s="1"/>
  <c r="V102" i="1" s="1"/>
  <c r="AK81" i="1"/>
  <c r="AH81" i="1"/>
  <c r="AE81" i="1"/>
  <c r="AE94" i="1" s="1"/>
  <c r="AB81" i="1"/>
  <c r="AB83" i="1" s="1"/>
  <c r="Y81" i="1"/>
  <c r="V81" i="1"/>
  <c r="S81" i="1"/>
  <c r="S94" i="1" s="1"/>
  <c r="P81" i="1"/>
  <c r="M81" i="1"/>
  <c r="AQ85" i="1"/>
  <c r="AK85" i="1"/>
  <c r="AK87" i="1" s="1"/>
  <c r="AK95" i="1" s="1"/>
  <c r="AH85" i="1"/>
  <c r="AH87" i="1" s="1"/>
  <c r="AH95" i="1" s="1"/>
  <c r="AE85" i="1"/>
  <c r="AE87" i="1" s="1"/>
  <c r="AE95" i="1" s="1"/>
  <c r="Y85" i="1"/>
  <c r="V85" i="1"/>
  <c r="M85" i="1"/>
  <c r="M94" i="1" l="1"/>
  <c r="P83" i="1"/>
  <c r="AN83" i="1"/>
  <c r="AQ83" i="1"/>
  <c r="M87" i="1"/>
  <c r="M95" i="1" s="1"/>
  <c r="M83" i="1"/>
  <c r="V86" i="1"/>
  <c r="V87" i="1" s="1"/>
  <c r="V95" i="1" s="1"/>
  <c r="V94" i="1"/>
  <c r="AH86" i="1"/>
  <c r="AH94" i="1"/>
  <c r="AK83" i="1"/>
  <c r="AK94" i="1"/>
  <c r="AE86" i="1"/>
  <c r="P86" i="1"/>
  <c r="P87" i="1" s="1"/>
  <c r="P95" i="1" s="1"/>
  <c r="P94" i="1"/>
  <c r="AE83" i="1"/>
  <c r="Y86" i="1"/>
  <c r="Y87" i="1" s="1"/>
  <c r="Y95" i="1" s="1"/>
  <c r="Y94" i="1"/>
  <c r="AB86" i="1"/>
  <c r="AB87" i="1" s="1"/>
  <c r="AB95" i="1" s="1"/>
  <c r="AB94" i="1"/>
  <c r="V83" i="1"/>
  <c r="AH83" i="1"/>
  <c r="Y83" i="1"/>
  <c r="S83" i="1"/>
  <c r="S86" i="1"/>
  <c r="J85" i="1"/>
  <c r="AK86" i="1"/>
  <c r="M86" i="1"/>
  <c r="J87" i="1" l="1"/>
  <c r="S57" i="1"/>
  <c r="L51" i="1"/>
  <c r="M96" i="1" l="1"/>
  <c r="M97" i="1" s="1"/>
  <c r="M98" i="1" s="1"/>
  <c r="M99" i="1" s="1"/>
  <c r="M100" i="1" s="1"/>
  <c r="P56" i="1"/>
  <c r="L50" i="1"/>
  <c r="L49" i="1"/>
  <c r="L48" i="1"/>
  <c r="J77" i="1"/>
  <c r="D124" i="1" s="1"/>
  <c r="J79" i="1"/>
  <c r="J80" i="1"/>
  <c r="J82" i="1"/>
  <c r="Q122" i="1" s="1"/>
  <c r="J81" i="1"/>
  <c r="K122" i="1" s="1"/>
  <c r="J84" i="1"/>
  <c r="Q124" i="1" s="1"/>
  <c r="M103" i="1" l="1"/>
  <c r="M104" i="1"/>
  <c r="AI13" i="1"/>
  <c r="AM12" i="1"/>
  <c r="AR11" i="1"/>
  <c r="AM10" i="1"/>
  <c r="AR9" i="1"/>
  <c r="AM11" i="1" l="1"/>
  <c r="AM9" i="1"/>
  <c r="AR12" i="1"/>
  <c r="AR10" i="1"/>
  <c r="AQ78" i="1" l="1"/>
  <c r="AN78" i="1"/>
  <c r="AQ57" i="1"/>
  <c r="AN57" i="1"/>
  <c r="AK57" i="1"/>
  <c r="AH57" i="1"/>
  <c r="AE57" i="1"/>
  <c r="AB57" i="1"/>
  <c r="Y57" i="1"/>
  <c r="V57" i="1"/>
  <c r="AJ13" i="1"/>
  <c r="AO1" i="1"/>
  <c r="V99" i="1" l="1"/>
  <c r="V100" i="1" s="1"/>
  <c r="V8" i="1"/>
  <c r="S8" i="1"/>
  <c r="P8" i="1"/>
  <c r="S96" i="1"/>
  <c r="V96" i="1"/>
  <c r="V97" i="1" s="1"/>
  <c r="V98" i="1" s="1"/>
  <c r="AH96" i="1"/>
  <c r="P96" i="1"/>
  <c r="P97" i="1" s="1"/>
  <c r="P98" i="1" s="1"/>
  <c r="P99" i="1" s="1"/>
  <c r="P100" i="1" s="1"/>
  <c r="P57" i="1"/>
  <c r="AQ120" i="1" s="1"/>
  <c r="AE96" i="1"/>
  <c r="AK96" i="1"/>
  <c r="AN86" i="1"/>
  <c r="J78" i="1"/>
  <c r="AQ86" i="1"/>
  <c r="G5" i="1"/>
  <c r="E109" i="2"/>
  <c r="E101" i="2"/>
  <c r="AJ9" i="1"/>
  <c r="AJ10" i="1"/>
  <c r="AJ11" i="1"/>
  <c r="AJ12" i="1"/>
  <c r="P25" i="1"/>
  <c r="P26" i="1"/>
  <c r="P27" i="1"/>
  <c r="P28" i="1"/>
  <c r="P31" i="1" s="1"/>
  <c r="P33" i="1"/>
  <c r="P34" i="1" s="1"/>
  <c r="O40" i="1"/>
  <c r="AH40" i="1"/>
  <c r="AH41" i="1"/>
  <c r="AH42" i="1"/>
  <c r="AH43" i="1"/>
  <c r="AH45" i="1" s="1"/>
  <c r="AH46" i="1"/>
  <c r="P131" i="1" s="1"/>
  <c r="AH47" i="1"/>
  <c r="P58" i="1"/>
  <c r="P59" i="1"/>
  <c r="P60" i="1" s="1"/>
  <c r="P62" i="1"/>
  <c r="P63" i="1" s="1"/>
  <c r="P65" i="1"/>
  <c r="P66" i="1" s="1"/>
  <c r="P71" i="1"/>
  <c r="P72" i="1"/>
  <c r="E78" i="1"/>
  <c r="E86" i="1"/>
  <c r="M91" i="1"/>
  <c r="P91" i="1"/>
  <c r="S91" i="1"/>
  <c r="V91" i="1"/>
  <c r="Y91" i="1"/>
  <c r="AB91" i="1"/>
  <c r="AE91" i="1"/>
  <c r="AH91" i="1"/>
  <c r="AK91" i="1"/>
  <c r="AN91" i="1"/>
  <c r="AQ91" i="1"/>
  <c r="AK140" i="1"/>
  <c r="AB140" i="1" s="1"/>
  <c r="O143" i="1"/>
  <c r="AP149" i="1"/>
  <c r="AP154" i="1" s="1"/>
  <c r="AP150" i="1"/>
  <c r="AP153" i="1"/>
  <c r="U131" i="1" l="1"/>
  <c r="P136" i="1"/>
  <c r="X131" i="1"/>
  <c r="P104" i="1"/>
  <c r="P103" i="1"/>
  <c r="V104" i="1"/>
  <c r="V103" i="1"/>
  <c r="F109" i="1"/>
  <c r="AQ123" i="1"/>
  <c r="P73" i="1"/>
  <c r="D123" i="1"/>
  <c r="J8" i="1"/>
  <c r="M8" i="1"/>
  <c r="Y8" i="1"/>
  <c r="AB8" i="1"/>
  <c r="P64" i="1"/>
  <c r="J86" i="1"/>
  <c r="J88" i="1" s="1"/>
  <c r="AH44" i="1"/>
  <c r="Y96" i="1"/>
  <c r="Y97" i="1" s="1"/>
  <c r="Y98" i="1" s="1"/>
  <c r="Y99" i="1" s="1"/>
  <c r="AB96" i="1"/>
  <c r="AB97" i="1" s="1"/>
  <c r="AB98" i="1" s="1"/>
  <c r="AB99" i="1" s="1"/>
  <c r="AB100" i="1" s="1"/>
  <c r="AH48" i="1"/>
  <c r="O140" i="1"/>
  <c r="S140" i="1" s="1"/>
  <c r="AH51" i="1"/>
  <c r="P61" i="1"/>
  <c r="P36" i="1"/>
  <c r="AN140" i="1"/>
  <c r="J83" i="1"/>
  <c r="P32" i="1"/>
  <c r="P37" i="1"/>
  <c r="P67" i="1"/>
  <c r="P30" i="1"/>
  <c r="L40" i="1"/>
  <c r="L41" i="1" s="1"/>
  <c r="AH49" i="1"/>
  <c r="P29" i="1"/>
  <c r="AH50" i="1"/>
  <c r="P35" i="1"/>
  <c r="M102" i="1" l="1"/>
  <c r="P102" i="1"/>
  <c r="J102" i="1"/>
  <c r="J95" i="1"/>
  <c r="J96" i="1" s="1"/>
  <c r="J97" i="1" s="1"/>
  <c r="K123" i="1" s="1"/>
  <c r="AQ121" i="1"/>
  <c r="AQ95" i="1"/>
  <c r="AN95" i="1"/>
  <c r="D122" i="1"/>
  <c r="W111" i="1"/>
  <c r="M109" i="1"/>
  <c r="M108" i="1" s="1"/>
  <c r="M110" i="1"/>
  <c r="G8" i="1"/>
  <c r="V140" i="1"/>
  <c r="Y100" i="1"/>
  <c r="AB104" i="1"/>
  <c r="AB103" i="1"/>
  <c r="AF20" i="1"/>
  <c r="J19" i="1"/>
  <c r="AN101" i="1" l="1"/>
  <c r="V101" i="1" s="1"/>
  <c r="M101" i="1"/>
  <c r="P101" i="1"/>
  <c r="J98" i="1"/>
  <c r="W123" i="1" s="1"/>
  <c r="Y103" i="1"/>
  <c r="Y104" i="1"/>
  <c r="J99" i="1" l="1"/>
  <c r="W124" i="1" s="1"/>
  <c r="J101" i="1"/>
  <c r="AH13" i="1"/>
  <c r="AR13" i="1" s="1"/>
  <c r="J100" i="1" l="1"/>
  <c r="K124" i="1" s="1"/>
  <c r="AM13" i="1"/>
  <c r="J104" i="1" l="1"/>
  <c r="J103" i="1"/>
  <c r="AB105" i="1"/>
  <c r="AK105" i="1"/>
  <c r="M105" i="1"/>
  <c r="AH105" i="1"/>
  <c r="V105" i="1"/>
  <c r="AE105" i="1"/>
  <c r="S105" i="1"/>
  <c r="P105" i="1"/>
  <c r="Y105" i="1"/>
  <c r="J105" i="1" l="1"/>
  <c r="F110" i="1" s="1"/>
  <c r="AQ124" i="1" l="1"/>
  <c r="F111" i="1" l="1"/>
  <c r="F115" i="1"/>
</calcChain>
</file>

<file path=xl/sharedStrings.xml><?xml version="1.0" encoding="utf-8"?>
<sst xmlns="http://schemas.openxmlformats.org/spreadsheetml/2006/main" count="782" uniqueCount="390">
  <si>
    <t>Изп. директор:</t>
  </si>
  <si>
    <t>MWh</t>
  </si>
  <si>
    <t>°С</t>
  </si>
  <si>
    <t>СРЕДНА ТЕМПЕРАТУРА НА ВЪНШЕН ВЪЗДУХ</t>
  </si>
  <si>
    <t>MW</t>
  </si>
  <si>
    <t>Дим.</t>
  </si>
  <si>
    <t>Параметри от инсталации за комбинирано производство</t>
  </si>
  <si>
    <t>№</t>
  </si>
  <si>
    <t>ТЕМПЕРАТУРА НА ОБРАТНА МРЕЖОВА ВОДА</t>
  </si>
  <si>
    <t>ДЕНГРАДУСИ</t>
  </si>
  <si>
    <t>ТЕМПЕРАТУРА НА ПРАВА МРЕЖОВА ВОДА</t>
  </si>
  <si>
    <t>брой</t>
  </si>
  <si>
    <t>ДНИ С ОТОПЛЕНИЕ</t>
  </si>
  <si>
    <r>
      <t>m</t>
    </r>
    <r>
      <rPr>
        <vertAlign val="superscript"/>
        <sz val="8"/>
        <rFont val="Times New Roman"/>
        <family val="1"/>
      </rPr>
      <t>3</t>
    </r>
  </si>
  <si>
    <t>РАЗХОД НА ДОБАВЪЧНА ВОДА ЗА ВОДНАТА ТОПЛОПРЕНОСНА  МРЕЖА</t>
  </si>
  <si>
    <t>ТОПЛИННА ЕНЕРГИЯ за ОВ</t>
  </si>
  <si>
    <t>РАЗХОД НА ПРАВА МРЕЖОВА ВОДА ЗА ВОДНАТА ТОПЛОПРЕНОСНА  МРЕЖА</t>
  </si>
  <si>
    <t>ТОПЛИННА ЕНЕРГИЯ за БГВ</t>
  </si>
  <si>
    <r>
      <t xml:space="preserve">ОБЕМ НА ТОПЛОПРЕНОСНАТА МРЕЖА </t>
    </r>
    <r>
      <rPr>
        <b/>
        <sz val="8"/>
        <rFont val="Times New Roman"/>
        <family val="1"/>
      </rPr>
      <t>*</t>
    </r>
  </si>
  <si>
    <t>Параметри</t>
  </si>
  <si>
    <t xml:space="preserve">  - купена топлинна енергия с топлоносител гореща вода</t>
  </si>
  <si>
    <t xml:space="preserve"> от ВК</t>
  </si>
  <si>
    <t xml:space="preserve"> от Бойлерна Уредба</t>
  </si>
  <si>
    <t>В Т.Ч.:  ЗА БИТОВИ НУЖДИ</t>
  </si>
  <si>
    <t>%</t>
  </si>
  <si>
    <t>общо</t>
  </si>
  <si>
    <t>в АС</t>
  </si>
  <si>
    <t>от заг. на ГВ</t>
  </si>
  <si>
    <t>от изл.</t>
  </si>
  <si>
    <t>РЕАЛИЗИРАНА (ПРОДАДЕНА)</t>
  </si>
  <si>
    <t xml:space="preserve">ТЕХН. РАЗХОДИ ПО ПРЕНОСА </t>
  </si>
  <si>
    <t>ОТПУСНАТА от ТЕЦ към ПРЕНОСА</t>
  </si>
  <si>
    <t>СОБСТВЕНИ НУЖДИ</t>
  </si>
  <si>
    <t>ПРОИЗВЕДЕНА    от съоръжениата</t>
  </si>
  <si>
    <t>kcal/kg</t>
  </si>
  <si>
    <t>Di НА ВОДНАТА ПАРАТА</t>
  </si>
  <si>
    <t>t/h</t>
  </si>
  <si>
    <t>МАКС. РЕГИСТРИРАН РАЗХОД на ВП на изход ТЕЦ</t>
  </si>
  <si>
    <t>за …………………</t>
  </si>
  <si>
    <t>t</t>
  </si>
  <si>
    <t>от  ПАРООТБОРИ и ПРОТИВОНАЛЯГАИЯ НА ТГ (8-13ata)</t>
  </si>
  <si>
    <t xml:space="preserve"> от ППК</t>
  </si>
  <si>
    <t>ТОПЛИННА  ЕНЕРГИЯ С ВОДНА ПАРА</t>
  </si>
  <si>
    <t>СОБСТВЕНИ НУЖДИ и ДРУГИ</t>
  </si>
  <si>
    <t xml:space="preserve">ΔF фактическо = </t>
  </si>
  <si>
    <t>F</t>
  </si>
  <si>
    <t xml:space="preserve">ΔF критерии = </t>
  </si>
  <si>
    <t>-</t>
  </si>
  <si>
    <t>E</t>
  </si>
  <si>
    <t>Q</t>
  </si>
  <si>
    <t>електрическа</t>
  </si>
  <si>
    <t>топлинна</t>
  </si>
  <si>
    <t xml:space="preserve">η по чл. 4, ал. 1 = </t>
  </si>
  <si>
    <t>Некомбинирана енергия</t>
  </si>
  <si>
    <t>Комбинирна енергия</t>
  </si>
  <si>
    <t>Тотална енергия</t>
  </si>
  <si>
    <t xml:space="preserve">Напрежение на свързване : </t>
  </si>
  <si>
    <t>Коригиращи фактори за избегнати загуби от мрежата за прилагането на хармонизирани референтни стойности на ефективността за разделно производство на електрическа енергия</t>
  </si>
  <si>
    <r>
      <t>η</t>
    </r>
    <r>
      <rPr>
        <vertAlign val="subscript"/>
        <sz val="10"/>
        <rFont val="Times New Roman"/>
        <family val="1"/>
        <charset val="204"/>
      </rPr>
      <t>q</t>
    </r>
    <r>
      <rPr>
        <vertAlign val="superscript"/>
        <sz val="10"/>
        <rFont val="Times New Roman"/>
        <family val="1"/>
        <charset val="204"/>
      </rPr>
      <t xml:space="preserve">оц </t>
    </r>
    <r>
      <rPr>
        <sz val="10"/>
        <rFont val="Times New Roman"/>
        <family val="1"/>
        <charset val="204"/>
      </rPr>
      <t xml:space="preserve">=  </t>
    </r>
  </si>
  <si>
    <r>
      <t>η</t>
    </r>
    <r>
      <rPr>
        <vertAlign val="subscript"/>
        <sz val="10"/>
        <rFont val="Times New Roman"/>
        <family val="1"/>
        <charset val="204"/>
      </rPr>
      <t>е</t>
    </r>
    <r>
      <rPr>
        <vertAlign val="superscript"/>
        <sz val="10"/>
        <rFont val="Times New Roman"/>
        <family val="1"/>
        <charset val="204"/>
      </rPr>
      <t>кец</t>
    </r>
    <r>
      <rPr>
        <sz val="10"/>
        <rFont val="Times New Roman"/>
        <family val="1"/>
        <charset val="204"/>
      </rPr>
      <t xml:space="preserve"> =  </t>
    </r>
  </si>
  <si>
    <r>
      <t>Fкомб. = F</t>
    </r>
    <r>
      <rPr>
        <vertAlign val="superscript"/>
        <sz val="7"/>
        <rFont val="Times New Roman"/>
        <family val="1"/>
        <charset val="204"/>
      </rPr>
      <t>Т</t>
    </r>
    <r>
      <rPr>
        <sz val="7"/>
        <rFont val="Times New Roman"/>
        <family val="1"/>
        <charset val="204"/>
      </rPr>
      <t>-Fнекомб.е - Fнекомб.q =</t>
    </r>
  </si>
  <si>
    <t xml:space="preserve">Fнекомб.е = </t>
  </si>
  <si>
    <t xml:space="preserve">E некомб. = </t>
  </si>
  <si>
    <t xml:space="preserve">E комб. = </t>
  </si>
  <si>
    <r>
      <t xml:space="preserve">σ </t>
    </r>
    <r>
      <rPr>
        <b/>
        <vertAlign val="subscript"/>
        <sz val="10"/>
        <rFont val="Times New Roman"/>
        <family val="1"/>
        <charset val="204"/>
      </rPr>
      <t>реж.</t>
    </r>
    <r>
      <rPr>
        <b/>
        <sz val="10"/>
        <rFont val="Times New Roman"/>
        <family val="1"/>
        <charset val="204"/>
      </rPr>
      <t xml:space="preserve"> = </t>
    </r>
  </si>
  <si>
    <r>
      <t xml:space="preserve">η </t>
    </r>
    <r>
      <rPr>
        <vertAlign val="subscript"/>
        <sz val="10"/>
        <rFont val="Times New Roman"/>
        <family val="1"/>
        <charset val="204"/>
      </rPr>
      <t>некомб</t>
    </r>
    <r>
      <rPr>
        <sz val="10"/>
        <rFont val="Times New Roman"/>
        <family val="1"/>
        <charset val="204"/>
      </rPr>
      <t>.</t>
    </r>
    <r>
      <rPr>
        <vertAlign val="subscript"/>
        <sz val="10"/>
        <rFont val="Times New Roman"/>
        <family val="1"/>
        <charset val="204"/>
      </rPr>
      <t>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</si>
  <si>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ср.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</si>
  <si>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3  </t>
    </r>
    <r>
      <rPr>
        <b/>
        <sz val="10"/>
        <rFont val="Times New Roman"/>
        <family val="1"/>
        <charset val="204"/>
      </rPr>
      <t>=</t>
    </r>
  </si>
  <si>
    <r>
      <t xml:space="preserve">β </t>
    </r>
    <r>
      <rPr>
        <b/>
        <vertAlign val="subscript"/>
        <sz val="10"/>
        <rFont val="Times New Roman"/>
        <family val="1"/>
        <charset val="204"/>
      </rPr>
      <t xml:space="preserve"> комб. 2  </t>
    </r>
    <r>
      <rPr>
        <b/>
        <sz val="10"/>
        <rFont val="Times New Roman"/>
        <family val="1"/>
        <charset val="204"/>
      </rPr>
      <t>=</t>
    </r>
  </si>
  <si>
    <t>ОБЩО</t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</si>
  <si>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колектор</t>
    </r>
    <r>
      <rPr>
        <b/>
        <sz val="12"/>
        <rFont val="Times New Roman"/>
        <family val="1"/>
        <charset val="204"/>
      </rPr>
      <t>=</t>
    </r>
  </si>
  <si>
    <r>
      <t xml:space="preserve">η </t>
    </r>
    <r>
      <rPr>
        <b/>
        <vertAlign val="subscript"/>
        <sz val="12"/>
        <rFont val="Times New Roman"/>
        <family val="1"/>
        <charset val="204"/>
      </rPr>
      <t xml:space="preserve"> общо  </t>
    </r>
    <r>
      <rPr>
        <b/>
        <sz val="12"/>
        <rFont val="Times New Roman"/>
        <family val="1"/>
        <charset val="204"/>
      </rPr>
      <t>=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</si>
  <si>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Qкомб.  = </t>
    </r>
  </si>
  <si>
    <t xml:space="preserve">Fкомб. + Fнекомб.е =  FT - Fнекомб.q = </t>
  </si>
  <si>
    <r>
      <t>F</t>
    </r>
    <r>
      <rPr>
        <vertAlign val="subscript"/>
        <sz val="10"/>
        <rFont val="Times New Roman"/>
        <family val="1"/>
        <charset val="204"/>
      </rPr>
      <t>некомб.q</t>
    </r>
    <r>
      <rPr>
        <sz val="10"/>
        <rFont val="Times New Roman"/>
        <family val="1"/>
        <charset val="204"/>
      </rPr>
      <t xml:space="preserve"> = </t>
    </r>
  </si>
  <si>
    <r>
      <t xml:space="preserve">Q </t>
    </r>
    <r>
      <rPr>
        <vertAlign val="superscript"/>
        <sz val="10"/>
        <color indexed="10"/>
        <rFont val="Times New Roman"/>
        <family val="1"/>
        <charset val="204"/>
      </rPr>
      <t>т</t>
    </r>
    <r>
      <rPr>
        <sz val="10"/>
        <color indexed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</si>
  <si>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некомб.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</si>
  <si>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= Q</t>
    </r>
    <r>
      <rPr>
        <vertAlign val="sub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+ 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</t>
    </r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</si>
  <si>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= </t>
    </r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</si>
  <si>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(полезна) = 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</si>
  <si>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= </t>
    </r>
  </si>
  <si>
    <r>
      <t>F</t>
    </r>
    <r>
      <rPr>
        <b/>
        <vertAlign val="superscript"/>
        <sz val="10"/>
        <rFont val="Times New Roman"/>
        <family val="1"/>
        <charset val="204"/>
      </rPr>
      <t>T</t>
    </r>
    <r>
      <rPr>
        <b/>
        <sz val="10"/>
        <rFont val="Times New Roman"/>
        <family val="1"/>
        <charset val="204"/>
      </rPr>
      <t xml:space="preserve"> = </t>
    </r>
  </si>
  <si>
    <t>ГТ - 2</t>
  </si>
  <si>
    <t>ГТ - 1</t>
  </si>
  <si>
    <t>ТГ - 9</t>
  </si>
  <si>
    <t>ТГ - 8</t>
  </si>
  <si>
    <t>ТГ - 7</t>
  </si>
  <si>
    <t>ТГ - 6</t>
  </si>
  <si>
    <t>ТГ - 5</t>
  </si>
  <si>
    <t>ТГ - 4</t>
  </si>
  <si>
    <t>ТГ - 3</t>
  </si>
  <si>
    <t>ТГ - 2</t>
  </si>
  <si>
    <t>ТГ - 1</t>
  </si>
  <si>
    <t>kcal / kg</t>
  </si>
  <si>
    <t>ЕНТАЛПИЯ НА ПАРАТА НА ИЗХОД НА ТГ</t>
  </si>
  <si>
    <t>kcal / kWh</t>
  </si>
  <si>
    <t>СПЕЦИФИЧЕН РАЗХОД НА ТОПЛИНА - БРУТО</t>
  </si>
  <si>
    <t>ПРОИЗВЕДЕНА  ЕЛЕКТРОЕНЕРГИЯ  -  БРУТО</t>
  </si>
  <si>
    <t>h</t>
  </si>
  <si>
    <t>РАБОТНИ  ЧАСОВЕ  БЕЗ  П.В.Н.</t>
  </si>
  <si>
    <t>°C</t>
  </si>
  <si>
    <t>ТЕМПЕРАТУРА НА ПИТ. ВОДА СЛЕД   П.В.Н.</t>
  </si>
  <si>
    <t>ВАКУУМ  В  КОНДЕНЗАТОРА</t>
  </si>
  <si>
    <t>ata</t>
  </si>
  <si>
    <t>НАЛЯГАНЕ НА ОТРАБОТИЛАТА ПАРА</t>
  </si>
  <si>
    <t>° C</t>
  </si>
  <si>
    <t>ТЕМПЕРАТУРА НА ПАРА В ТОПЛОФ.  ПАРООТ.</t>
  </si>
  <si>
    <t>НАЛЯГАНЕ НА  ПАРА В ТОПЛОФ.  ПАРООТБОР</t>
  </si>
  <si>
    <t>РАЗХОД НА  ПАРА В ТОПЛОФ.  ПАРООТБОР</t>
  </si>
  <si>
    <t>ТЕМПЕРАТУРА НА ПАРА В ПРОМ.  ПАРООТ.</t>
  </si>
  <si>
    <t>НАЛЯГАНЕ НА  ПАРА В ПРОМ.  ПАРООТБОР</t>
  </si>
  <si>
    <t>РАЗХОД НА  ПАРА В ПРОМИШЛЕН.  ПАРООТБОР</t>
  </si>
  <si>
    <t>ТЕМПЕРАТУРА  НА  СВЕЖА  ПАРА</t>
  </si>
  <si>
    <t>НАЛЯГАНЕ НА СВЕЖА ПАРА</t>
  </si>
  <si>
    <t>РАЗХОД НА СВЕЖА ПАРА НА ТУРБОАГРЕГАТА</t>
  </si>
  <si>
    <t>РАБОТНИ  ЧАСОВЕ</t>
  </si>
  <si>
    <t>N инсталирано</t>
  </si>
  <si>
    <t>ТИП НА ПАРНАТА ТУРБИНА</t>
  </si>
  <si>
    <t>ТЕМПЕРАТУРА НА ИЗХ. ГАЗОВЕ</t>
  </si>
  <si>
    <t>ТЕМПЕРАТУРА НА ПИТ. ВОДА</t>
  </si>
  <si>
    <r>
      <t>knm</t>
    </r>
    <r>
      <rPr>
        <vertAlign val="superscript"/>
        <sz val="10"/>
        <rFont val="Times New Roman"/>
        <family val="1"/>
        <charset val="204"/>
      </rPr>
      <t>3</t>
    </r>
  </si>
  <si>
    <t>ИЗРАЗХОДВАНО ГОРИВО ГТ</t>
  </si>
  <si>
    <t>ТЕМПЕРАТУРА НА ПАРАТА</t>
  </si>
  <si>
    <t>ПРОИЗВЕДЕНА ЕЛЕКТРИЧЕСКА ЕНЕРГИЯ</t>
  </si>
  <si>
    <t>НАЛЯГАНЕ НА ПАРАТА</t>
  </si>
  <si>
    <t>ПРОИЗВЕДЕНА ТЕ С ВОДНА ПАРА</t>
  </si>
  <si>
    <t>ГТ-2</t>
  </si>
  <si>
    <t>ГТ-1</t>
  </si>
  <si>
    <t>НАИМЕНОВАНИЕ</t>
  </si>
  <si>
    <r>
      <t xml:space="preserve">ПРОИЗВЕДЕНА   </t>
    </r>
    <r>
      <rPr>
        <b/>
        <u/>
        <sz val="8"/>
        <rFont val="Times New Roman"/>
        <family val="1"/>
        <charset val="204"/>
      </rPr>
      <t>ВОДНА ПАРА</t>
    </r>
  </si>
  <si>
    <t>ТЕМПЕРАТУРА НА ВОДА СЛЕД КУ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</si>
  <si>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</si>
  <si>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t>ТЕМПЕРАТУРА НА ВОДА ПРЕД КУ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</si>
  <si>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</si>
  <si>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>m</t>
    </r>
    <r>
      <rPr>
        <vertAlign val="superscript"/>
        <sz val="10"/>
        <rFont val="Times New Roman"/>
        <family val="1"/>
        <charset val="204"/>
      </rPr>
      <t>3</t>
    </r>
  </si>
  <si>
    <t>РАЗХОД НА ВОДА ПРЕЗ КУ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</si>
  <si>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  <r>
      <rPr>
        <sz val="10"/>
        <rFont val="Times New Roman"/>
        <family val="1"/>
        <charset val="204"/>
      </rPr>
      <t xml:space="preserve"> =</t>
    </r>
  </si>
  <si>
    <r>
      <t xml:space="preserve">ПРОИЗВЕДЕНА ТЕ С </t>
    </r>
    <r>
      <rPr>
        <b/>
        <u/>
        <sz val="8"/>
        <rFont val="Times New Roman"/>
        <family val="1"/>
        <charset val="204"/>
      </rPr>
      <t>ГОРЕЩА ВОДА</t>
    </r>
  </si>
  <si>
    <t>Прегрята пара за РОУ 8-13 ata</t>
  </si>
  <si>
    <t>ИЗРАЗХОДВАНО ДОПЪЛНИТЕЛНО ГОРИВО към КУ</t>
  </si>
  <si>
    <t>Прегрята пара за РОУ 1.2 ata</t>
  </si>
  <si>
    <t>Прегрята пара за РОУ</t>
  </si>
  <si>
    <r>
      <t>Q</t>
    </r>
    <r>
      <rPr>
        <vertAlign val="superscript"/>
        <sz val="10"/>
        <color indexed="8"/>
        <rFont val="Times New Roman"/>
        <family val="1"/>
        <charset val="204"/>
      </rPr>
      <t>ТЕЦ</t>
    </r>
  </si>
  <si>
    <t>MWh/t</t>
  </si>
  <si>
    <t>ЕНТАЛПИЯ НА КОТЛОВАТА ВОДА В БАРАБАНА</t>
  </si>
  <si>
    <t>ТЕМПЕРАТУРА В БАРАБАНА</t>
  </si>
  <si>
    <t>НАЛЯГАНЕ В БАРАБАНА</t>
  </si>
  <si>
    <t>КПД  на  ПАРОГЕНЕРАТОРИТЕ - БРУТО</t>
  </si>
  <si>
    <t>ТЕМПЕРАТУРА  НА  ИЗХ.  ГАЗОВЕ</t>
  </si>
  <si>
    <t>ТЕМПЕРАТУРА  НА ПИТАТЕЛНА ВОДА пред  ЕКО</t>
  </si>
  <si>
    <t>ТЕМПЕРАТУРА  НА  ПРЕГРЯТА ПАРА</t>
  </si>
  <si>
    <t>НАЛЯГАНЕ  НА  ПРЕГРЯТА ПАРА</t>
  </si>
  <si>
    <t>ПРОИЗВЕДЕНА  ПРЕГРЯТА  ПАРА</t>
  </si>
  <si>
    <t>РАЗХОД  НА ПИТАТЕЛНА ВОДА</t>
  </si>
  <si>
    <t>НОМИНАЛНО ПРОИЗВОДСТВО НА ПАРА</t>
  </si>
  <si>
    <t>ПГ-9</t>
  </si>
  <si>
    <t>ПГ-8</t>
  </si>
  <si>
    <t>ПГ-7</t>
  </si>
  <si>
    <t>ПГ-6</t>
  </si>
  <si>
    <t>ПГ-5</t>
  </si>
  <si>
    <t>ПГ-4</t>
  </si>
  <si>
    <t>ПГ-3</t>
  </si>
  <si>
    <t>ПГ-2</t>
  </si>
  <si>
    <t>ПГ-1</t>
  </si>
  <si>
    <t>ПОКАЗАТЕЛИ  ЗА  РАБОТАТА  НА  ИНСТАЛАЦИИ ЗА КОМБИНИРАНО ПРОИЗВОДСТВО  В  ТЕЦ</t>
  </si>
  <si>
    <r>
      <t>η</t>
    </r>
    <r>
      <rPr>
        <vertAlign val="subscript"/>
        <sz val="10"/>
        <rFont val="Times New Roman"/>
        <family val="1"/>
      </rPr>
      <t xml:space="preserve"> ППК  </t>
    </r>
    <r>
      <rPr>
        <sz val="10"/>
        <rFont val="Times New Roman"/>
        <family val="1"/>
      </rPr>
      <t xml:space="preserve">= </t>
    </r>
  </si>
  <si>
    <t xml:space="preserve">Q ппк = </t>
  </si>
  <si>
    <r>
      <t>η</t>
    </r>
    <r>
      <rPr>
        <vertAlign val="subscript"/>
        <sz val="10"/>
        <rFont val="Times New Roman"/>
        <family val="1"/>
      </rPr>
      <t xml:space="preserve"> ВК  </t>
    </r>
    <r>
      <rPr>
        <sz val="10"/>
        <rFont val="Times New Roman"/>
        <family val="1"/>
      </rPr>
      <t xml:space="preserve">= </t>
    </r>
  </si>
  <si>
    <t xml:space="preserve">D ппк  = </t>
  </si>
  <si>
    <t xml:space="preserve">Q вк = </t>
  </si>
  <si>
    <t xml:space="preserve">Q д/р въгл. = </t>
  </si>
  <si>
    <t xml:space="preserve">В въглища = </t>
  </si>
  <si>
    <t xml:space="preserve">Q д/р газьол = </t>
  </si>
  <si>
    <t xml:space="preserve">В газьол = </t>
  </si>
  <si>
    <t xml:space="preserve">Q д/р мазут = </t>
  </si>
  <si>
    <t xml:space="preserve">В мазут = </t>
  </si>
  <si>
    <t xml:space="preserve">Q д/р пр.газ = </t>
  </si>
  <si>
    <t xml:space="preserve">В пр.газ = </t>
  </si>
  <si>
    <t xml:space="preserve">F (i)  = </t>
  </si>
  <si>
    <r>
      <t>F</t>
    </r>
    <r>
      <rPr>
        <vertAlign val="subscript"/>
        <sz val="10"/>
        <color indexed="8"/>
        <rFont val="Times New Roman"/>
        <family val="1"/>
      </rPr>
      <t>ППК</t>
    </r>
  </si>
  <si>
    <r>
      <t>F</t>
    </r>
    <r>
      <rPr>
        <vertAlign val="subscript"/>
        <sz val="10"/>
        <color indexed="8"/>
        <rFont val="Times New Roman"/>
        <family val="1"/>
      </rPr>
      <t>ВК</t>
    </r>
  </si>
  <si>
    <r>
      <t>F</t>
    </r>
    <r>
      <rPr>
        <vertAlign val="subscript"/>
        <sz val="10"/>
        <color indexed="8"/>
        <rFont val="Times New Roman"/>
        <family val="1"/>
      </rPr>
      <t>ЕПГ2</t>
    </r>
  </si>
  <si>
    <r>
      <t>F</t>
    </r>
    <r>
      <rPr>
        <vertAlign val="subscript"/>
        <sz val="10"/>
        <color indexed="8"/>
        <rFont val="Times New Roman"/>
        <family val="1"/>
      </rPr>
      <t>ЕПГ1</t>
    </r>
  </si>
  <si>
    <t>ГОРИВА</t>
  </si>
  <si>
    <t>Средната температура на обкръжаващата среда</t>
  </si>
  <si>
    <t>Централа :</t>
  </si>
  <si>
    <t>Инсталация за комбинирано производство (ИКП)</t>
  </si>
  <si>
    <t>Дружество:</t>
  </si>
  <si>
    <t>Означения</t>
  </si>
  <si>
    <t>Съгласно                                                                                                    Приложение № 3                                                                                           към                                                                                                    Наредба № РД-16-267                                                                                              от 19 март 2008 г.</t>
  </si>
  <si>
    <r>
      <t>ОБЩО  F</t>
    </r>
    <r>
      <rPr>
        <vertAlign val="superscript"/>
        <sz val="10"/>
        <color indexed="8"/>
        <rFont val="Times New Roman"/>
        <family val="1"/>
        <charset val="204"/>
      </rPr>
      <t>TЕЦ</t>
    </r>
  </si>
  <si>
    <t>Топлина на изгорените горива общо в ТЕЦ</t>
  </si>
  <si>
    <r>
      <t>knm</t>
    </r>
    <r>
      <rPr>
        <vertAlign val="superscript"/>
        <sz val="10"/>
        <color indexed="8"/>
        <rFont val="Times New Roman"/>
        <family val="1"/>
        <charset val="204"/>
      </rPr>
      <t>3</t>
    </r>
  </si>
  <si>
    <t>Количество изгорен природен газ</t>
  </si>
  <si>
    <t>Количество изгорен мазут</t>
  </si>
  <si>
    <t>Количество изгорен газьол</t>
  </si>
  <si>
    <t>Количество изгорени въглища</t>
  </si>
  <si>
    <t>kcal/nm3</t>
  </si>
  <si>
    <t>Калоричност (долна /работна) на изгорения природен газ общо в ТЕЦ</t>
  </si>
  <si>
    <t>Калоричност (долна /работна) на  изгорения мазут общо в ТЕЦ</t>
  </si>
  <si>
    <t>Калоричност (долна /работна) на  изгорения газьол общо в ТЕЦ</t>
  </si>
  <si>
    <t>Калоричност (долна /работна) на изгорените въглища общо в ТЕЦ</t>
  </si>
  <si>
    <r>
      <t>F</t>
    </r>
    <r>
      <rPr>
        <vertAlign val="subscript"/>
        <sz val="9"/>
        <color indexed="8"/>
        <rFont val="Times New Roman"/>
        <family val="1"/>
        <charset val="204"/>
      </rPr>
      <t>ВК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</si>
  <si>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във водогрейни котли</t>
  </si>
  <si>
    <r>
      <t>nm</t>
    </r>
    <r>
      <rPr>
        <vertAlign val="superscript"/>
        <sz val="10"/>
        <color indexed="8"/>
        <rFont val="Times New Roman"/>
        <family val="1"/>
        <charset val="204"/>
      </rPr>
      <t>3</t>
    </r>
  </si>
  <si>
    <r>
      <t>F</t>
    </r>
    <r>
      <rPr>
        <vertAlign val="subscript"/>
        <sz val="9"/>
        <color indexed="8"/>
        <rFont val="Times New Roman"/>
        <family val="1"/>
        <charset val="204"/>
      </rPr>
      <t>ППК</t>
    </r>
    <r>
      <rPr>
        <sz val="9"/>
        <color indexed="8"/>
        <rFont val="Times New Roman"/>
        <family val="1"/>
        <charset val="204"/>
      </rPr>
      <t xml:space="preserve"> = </t>
    </r>
  </si>
  <si>
    <t>Топлина на изгорените горива в промишлени парни котли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</si>
  <si>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1к = </t>
    </r>
  </si>
  <si>
    <t>Топлина на изгорените горива в енергийни парогенератори към І колектор</t>
  </si>
  <si>
    <r>
      <t>F</t>
    </r>
    <r>
      <rPr>
        <vertAlign val="subscript"/>
        <sz val="9"/>
        <color indexed="8"/>
        <rFont val="Times New Roman"/>
        <family val="1"/>
        <charset val="204"/>
      </rPr>
      <t>ЕПГ</t>
    </r>
    <r>
      <rPr>
        <sz val="9"/>
        <color indexed="8"/>
        <rFont val="Times New Roman"/>
        <family val="1"/>
        <charset val="204"/>
      </rPr>
      <t xml:space="preserve">2к = </t>
    </r>
  </si>
  <si>
    <t>Топлина на изгорените горива в енергийни парогенератори към ІІ колектор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</si>
  <si>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 xml:space="preserve">ДВГ </t>
    </r>
    <r>
      <rPr>
        <sz val="9"/>
        <rFont val="Times New Roman"/>
        <family val="1"/>
        <charset val="204"/>
      </rPr>
      <t xml:space="preserve">= </t>
    </r>
  </si>
  <si>
    <t>Топлина на изгорен природен газ в двигатели с вътрешно горене</t>
  </si>
  <si>
    <t>Количество изгорен природен газ в двигатели с вътрешно горене</t>
  </si>
  <si>
    <r>
      <t>F</t>
    </r>
    <r>
      <rPr>
        <vertAlign val="sub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= Fнекомб.q = </t>
    </r>
  </si>
  <si>
    <t>Топлина на допълнително изгорен природен газ в утилизатор</t>
  </si>
  <si>
    <t xml:space="preserve">В пр.газ доп. ку = </t>
  </si>
  <si>
    <t>Количество допълнително изгорен природен газ в утилизатор</t>
  </si>
  <si>
    <r>
      <t>F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  <r>
      <rPr>
        <vertAlign val="subscript"/>
        <sz val="9"/>
        <rFont val="Times New Roman"/>
        <family val="1"/>
        <charset val="204"/>
      </rPr>
      <t>ГТ</t>
    </r>
    <r>
      <rPr>
        <sz val="9"/>
        <rFont val="Times New Roman"/>
        <family val="1"/>
        <charset val="204"/>
      </rPr>
      <t xml:space="preserve"> = </t>
    </r>
  </si>
  <si>
    <t>Топлина на изгорен природен газ в газови турбини</t>
  </si>
  <si>
    <t>Количество изгорен природен газ в газови турбини</t>
  </si>
  <si>
    <t>Топлина на допълнително изгорен природен газ в котел утилизатор</t>
  </si>
  <si>
    <t>Количество допълнително изгорен природен газ в котел утилизатор</t>
  </si>
  <si>
    <t>Водогрейни котли</t>
  </si>
  <si>
    <t xml:space="preserve">РАБОТНИ  ЧАСОВЕ = </t>
  </si>
  <si>
    <t>Работни часове на водогреен котел</t>
  </si>
  <si>
    <t>Разход на природен газ за водогреен котел</t>
  </si>
  <si>
    <t>Разход на мазут за водогреен котел</t>
  </si>
  <si>
    <t>Разход на газьол за водогреен котел</t>
  </si>
  <si>
    <t xml:space="preserve">G вк  = </t>
  </si>
  <si>
    <t>Разход на мрежова вода преминала през водогреен котел</t>
  </si>
  <si>
    <t xml:space="preserve">t вк вх. = </t>
  </si>
  <si>
    <t>Температура на мрежова вода пред водогреен котел</t>
  </si>
  <si>
    <t xml:space="preserve">t вк изх. = </t>
  </si>
  <si>
    <t>Температура на мрежова вода след водогреен котел</t>
  </si>
  <si>
    <t>Произведена топлинна енергия от водогреен котел (измерена)</t>
  </si>
  <si>
    <t xml:space="preserve">Q вк изч. = </t>
  </si>
  <si>
    <t>Произведена топлинна енергия от ВК  = G вк * (t вк изх. - t вк вх.)/860</t>
  </si>
  <si>
    <r>
      <t>η</t>
    </r>
    <r>
      <rPr>
        <vertAlign val="subscript"/>
        <sz val="10"/>
        <rFont val="Times New Roman"/>
        <family val="1"/>
        <charset val="204"/>
      </rPr>
      <t xml:space="preserve"> ВК  </t>
    </r>
    <r>
      <rPr>
        <sz val="10"/>
        <rFont val="Times New Roman"/>
        <family val="1"/>
        <charset val="204"/>
      </rPr>
      <t xml:space="preserve">= </t>
    </r>
  </si>
  <si>
    <t>КПД на водогреен котел</t>
  </si>
  <si>
    <t xml:space="preserve">СРЕДЕН ТОПЛИНЕН ТОВАР = </t>
  </si>
  <si>
    <t xml:space="preserve">Среден топлинен товар на водогреен котел </t>
  </si>
  <si>
    <t>Промишлени парни котли</t>
  </si>
  <si>
    <t>Работни часове на промишлен парен котел</t>
  </si>
  <si>
    <t>Разход на природен газ за промишлен парен котел</t>
  </si>
  <si>
    <t>Разход на мазут за промишлен парен котел</t>
  </si>
  <si>
    <t>Разход на газьол за промишлен парен котел</t>
  </si>
  <si>
    <t>Разход на пара от промишлен парен котел</t>
  </si>
  <si>
    <t xml:space="preserve">P пара = </t>
  </si>
  <si>
    <t>Налягане на пара от промишлен парен котел</t>
  </si>
  <si>
    <t xml:space="preserve">t пара = </t>
  </si>
  <si>
    <t>Температура на пара от промишлен парен котел</t>
  </si>
  <si>
    <t xml:space="preserve">t питателна вода = </t>
  </si>
  <si>
    <t>Температура на питателна вода за промишлен парен котел</t>
  </si>
  <si>
    <t>Произведена топлинна енергия от промишлен парен котел</t>
  </si>
  <si>
    <r>
      <t>η</t>
    </r>
    <r>
      <rPr>
        <vertAlign val="subscript"/>
        <sz val="10"/>
        <rFont val="Times New Roman"/>
        <family val="1"/>
        <charset val="204"/>
      </rPr>
      <t xml:space="preserve"> ППК  </t>
    </r>
    <r>
      <rPr>
        <sz val="10"/>
        <rFont val="Times New Roman"/>
        <family val="1"/>
        <charset val="204"/>
      </rPr>
      <t xml:space="preserve">= </t>
    </r>
  </si>
  <si>
    <t>КПД на промишлен парен котел</t>
  </si>
  <si>
    <t xml:space="preserve">СРЕДЕН  ПАРОВ  ТОВАР = </t>
  </si>
  <si>
    <t>t / h</t>
  </si>
  <si>
    <t>Среден паров товар на промишлен парен котел</t>
  </si>
  <si>
    <r>
      <t>Q</t>
    </r>
    <r>
      <rPr>
        <vertAlign val="subscript"/>
        <sz val="10"/>
        <rFont val="Times New Roman"/>
        <family val="1"/>
        <charset val="204"/>
      </rPr>
      <t>1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</si>
  <si>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РОУ общо от ТЕЦ </t>
  </si>
  <si>
    <r>
      <t>Q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ТЕЦ</t>
    </r>
  </si>
  <si>
    <t>Произведена топлинна енергия от промишлен пароотбор общо от ТЕЦ</t>
  </si>
  <si>
    <r>
      <t>Q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ТЕЦ</t>
    </r>
  </si>
  <si>
    <t xml:space="preserve">Произведена топлинна енергия от топлофикационен пароотбор общо от ТЕЦ </t>
  </si>
  <si>
    <r>
      <t>Q</t>
    </r>
    <r>
      <rPr>
        <vertAlign val="superscript"/>
        <sz val="10"/>
        <rFont val="Times New Roman"/>
        <family val="1"/>
        <charset val="204"/>
      </rPr>
      <t>ТЕЦ</t>
    </r>
  </si>
  <si>
    <r>
      <t>Произведена топлинна енергия общо от ТЕЦ (Q</t>
    </r>
    <r>
      <rPr>
        <vertAlign val="subscript"/>
        <sz val="10"/>
        <color indexed="8"/>
        <rFont val="Times New Roman"/>
        <family val="1"/>
        <charset val="204"/>
      </rPr>
      <t>1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2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 xml:space="preserve"> + Q</t>
    </r>
    <r>
      <rPr>
        <vertAlign val="subscript"/>
        <sz val="10"/>
        <color indexed="8"/>
        <rFont val="Times New Roman"/>
        <family val="1"/>
        <charset val="204"/>
      </rPr>
      <t>3</t>
    </r>
    <r>
      <rPr>
        <vertAlign val="superscript"/>
        <sz val="10"/>
        <color indexed="8"/>
        <rFont val="Times New Roman"/>
        <family val="1"/>
        <charset val="204"/>
      </rPr>
      <t>ТЕЦ</t>
    </r>
    <r>
      <rPr>
        <sz val="10"/>
        <color indexed="8"/>
        <rFont val="Times New Roman"/>
        <family val="1"/>
        <charset val="204"/>
      </rPr>
      <t>)</t>
    </r>
  </si>
  <si>
    <t>ИНСТАЛАЦИИ ЗА КОМБИНИРАНО ПРОИЗВОДСТВО  В  ТЕЦ (ТГ; ГТ+)</t>
  </si>
  <si>
    <t>Топлина на горивото за инсталацията</t>
  </si>
  <si>
    <t>Произведена електрическа енергия от ТГ и ГТ; бруто</t>
  </si>
  <si>
    <t xml:space="preserve">Комбинирана полезна топлинна енергия от промишлен пароотбор </t>
  </si>
  <si>
    <t>Комбинирана полезна топлинна енергия от топлофикационен пароотбор</t>
  </si>
  <si>
    <t>Комбинирана полезна топлинна енергия от  инсталацията</t>
  </si>
  <si>
    <t>Некомбинирана топлинна енергия от  инсталацията</t>
  </si>
  <si>
    <t>Полезна топлинна енергия, произведена общо от инсталацията</t>
  </si>
  <si>
    <t>Топлина на горивото за некомбинирана топлинна енергия</t>
  </si>
  <si>
    <t>Топлина на горивото намалена с топл. на горивото за некомбинирана топлинна енергия</t>
  </si>
  <si>
    <t>Сума от брутна електрическа и комбинирана полезна топлинна енергия</t>
  </si>
  <si>
    <t>Обща енергийна ефективност на използването на горивото</t>
  </si>
  <si>
    <t>Обща енергийна ефективност на използването гориво (общ колектор)</t>
  </si>
  <si>
    <t>Обща енергийна ефективност на използване на горивото (като критерии)</t>
  </si>
  <si>
    <t xml:space="preserve">Коефициент на  електрически загуби (недопроизводство) при ппо </t>
  </si>
  <si>
    <t xml:space="preserve">Коефициент на  електрически загуби (недопроизводство) при тпо </t>
  </si>
  <si>
    <t>Коефициент на  електрически загуби (недопроизводство) среден</t>
  </si>
  <si>
    <t>Енергиина ефективност на некомбинирана електрическа енергия от  разделно производство</t>
  </si>
  <si>
    <t>Режимен фактор на инсталацията</t>
  </si>
  <si>
    <t>Комбинирана електрическа енергия от  инсталацията</t>
  </si>
  <si>
    <t>Некомбинирана електрическа енергия от  инсталацията</t>
  </si>
  <si>
    <t>Топлина на горивото за некомбинирана електрическа енергия</t>
  </si>
  <si>
    <t>Топлина на горивото за комбинирана електрическа и топлинна енергия</t>
  </si>
  <si>
    <t>Референтна стойност за разделно производство на електрическа енергия</t>
  </si>
  <si>
    <t>Референтна стойност за разделно производство на топлинна енергия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</si>
  <si>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е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</si>
  <si>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електрическа енергия от  инсталацията</t>
  </si>
  <si>
    <r>
      <t xml:space="preserve">η </t>
    </r>
    <r>
      <rPr>
        <vertAlign val="subscript"/>
        <sz val="10"/>
        <rFont val="Times New Roman"/>
        <family val="1"/>
        <charset val="204"/>
      </rPr>
      <t>комб. q</t>
    </r>
    <r>
      <rPr>
        <sz val="10"/>
        <rFont val="Times New Roman"/>
        <family val="1"/>
        <charset val="204"/>
      </rPr>
      <t xml:space="preserve"> 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=</t>
    </r>
  </si>
  <si>
    <t>Енергийна ефективност на комбинирана топлинна енергия от  инсталацията</t>
  </si>
  <si>
    <t>Икономия на използваното гориво (фактическо)</t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</si>
  <si>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 xml:space="preserve"> общо  </t>
    </r>
    <r>
      <rPr>
        <b/>
        <sz val="10"/>
        <rFont val="Times New Roman"/>
        <family val="1"/>
        <charset val="204"/>
      </rPr>
      <t>=</t>
    </r>
  </si>
  <si>
    <r>
      <t xml:space="preserve"> η</t>
    </r>
    <r>
      <rPr>
        <vertAlign val="subscript"/>
        <sz val="10"/>
        <rFont val="Times New Roman"/>
        <family val="1"/>
        <charset val="204"/>
      </rPr>
      <t xml:space="preserve">некомб.q </t>
    </r>
    <r>
      <rPr>
        <sz val="10"/>
        <rFont val="Times New Roman"/>
        <family val="1"/>
        <charset val="204"/>
      </rPr>
      <t xml:space="preserve"> =  η</t>
    </r>
    <r>
      <rPr>
        <vertAlign val="subscript"/>
        <sz val="10"/>
        <rFont val="Times New Roman"/>
        <family val="1"/>
        <charset val="204"/>
      </rPr>
      <t xml:space="preserve">ку  </t>
    </r>
    <r>
      <rPr>
        <sz val="10"/>
        <rFont val="Times New Roman"/>
        <family val="1"/>
        <charset val="204"/>
      </rPr>
      <t>= 90 %</t>
    </r>
  </si>
  <si>
    <t>Енергиина ефективност на некомбинирана топлинна енергия от разделно производство</t>
  </si>
  <si>
    <t>Икономия на използваното гориво (като критерии)</t>
  </si>
  <si>
    <t xml:space="preserve">Корекция на Ref-E към 15 °C </t>
  </si>
  <si>
    <r>
      <t xml:space="preserve"> </t>
    </r>
    <r>
      <rPr>
        <sz val="8"/>
        <color indexed="12"/>
        <rFont val="Times New Roman"/>
        <family val="1"/>
        <charset val="204"/>
      </rPr>
      <t>Задължително попълване - виж падащите менюта</t>
    </r>
  </si>
  <si>
    <r>
      <t>ОБЩО  F</t>
    </r>
    <r>
      <rPr>
        <vertAlign val="superscript"/>
        <sz val="9"/>
        <color indexed="8"/>
        <rFont val="Times New Roman"/>
        <family val="1"/>
      </rPr>
      <t>TЕЦ</t>
    </r>
  </si>
  <si>
    <t>ВОДОГРЕЙНИ КОТЛИ В ТЕЦ/ОЦ</t>
  </si>
  <si>
    <t>ПРОМИШЛЕНИ ПАРНИ КОТЛИ В ТЕЦ/ОЦ</t>
  </si>
  <si>
    <t>ПОКАЗАТЕЛИ ЗА РАБОТАТА НА:</t>
  </si>
  <si>
    <r>
      <t>КУ-1</t>
    </r>
    <r>
      <rPr>
        <b/>
        <sz val="6"/>
        <rFont val="Times New Roman"/>
        <family val="1"/>
        <charset val="204"/>
      </rPr>
      <t>(ГТ-1)</t>
    </r>
  </si>
  <si>
    <r>
      <t>КУ-2</t>
    </r>
    <r>
      <rPr>
        <b/>
        <sz val="6"/>
        <rFont val="Times New Roman"/>
        <family val="1"/>
        <charset val="204"/>
      </rPr>
      <t>(ГТ-2)</t>
    </r>
  </si>
  <si>
    <t>КУ-3</t>
  </si>
  <si>
    <t>ДОПЪЛНИТЕЛНИ ДАННИ ЗА ПЕРИОДА:</t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</si>
  <si>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1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</si>
  <si>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2</t>
    </r>
  </si>
  <si>
    <r>
      <t>Q</t>
    </r>
    <r>
      <rPr>
        <vertAlign val="subscript"/>
        <sz val="9"/>
        <color indexed="8"/>
        <rFont val="Times New Roman"/>
        <family val="1"/>
        <charset val="204"/>
      </rPr>
      <t>др</t>
    </r>
    <r>
      <rPr>
        <sz val="9"/>
        <color indexed="8"/>
        <rFont val="Times New Roman"/>
        <family val="1"/>
        <charset val="204"/>
      </rPr>
      <t xml:space="preserve"> - В</t>
    </r>
    <r>
      <rPr>
        <vertAlign val="subscript"/>
        <sz val="9"/>
        <color indexed="8"/>
        <rFont val="Times New Roman"/>
        <family val="1"/>
        <charset val="204"/>
      </rPr>
      <t>3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</si>
  <si>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 xml:space="preserve"> - В</t>
    </r>
    <r>
      <rPr>
        <vertAlign val="subscript"/>
        <sz val="9"/>
        <rFont val="Times New Roman"/>
        <family val="1"/>
        <charset val="204"/>
      </rPr>
      <t>4</t>
    </r>
  </si>
  <si>
    <r>
      <t>Q</t>
    </r>
    <r>
      <rPr>
        <vertAlign val="subscript"/>
        <sz val="9"/>
        <rFont val="Times New Roman"/>
        <family val="1"/>
        <charset val="204"/>
      </rPr>
      <t>др</t>
    </r>
    <r>
      <rPr>
        <sz val="9"/>
        <rFont val="Times New Roman"/>
        <family val="1"/>
        <charset val="204"/>
      </rPr>
      <t>-В</t>
    </r>
    <r>
      <rPr>
        <vertAlign val="subscript"/>
        <sz val="9"/>
        <rFont val="Times New Roman"/>
        <family val="1"/>
        <charset val="204"/>
      </rPr>
      <t>ГТ</t>
    </r>
  </si>
  <si>
    <t>/ ……………………... /</t>
  </si>
  <si>
    <r>
      <t xml:space="preserve">σ </t>
    </r>
    <r>
      <rPr>
        <b/>
        <vertAlign val="subscript"/>
        <sz val="12"/>
        <rFont val="Times New Roman"/>
        <family val="1"/>
        <charset val="204"/>
      </rPr>
      <t>реж.</t>
    </r>
    <r>
      <rPr>
        <b/>
        <sz val="12"/>
        <rFont val="Times New Roman"/>
        <family val="1"/>
        <charset val="204"/>
      </rPr>
      <t xml:space="preserve"> </t>
    </r>
  </si>
  <si>
    <r>
      <t>η</t>
    </r>
    <r>
      <rPr>
        <b/>
        <vertAlign val="subscript"/>
        <sz val="10"/>
        <rFont val="Times New Roman"/>
        <family val="1"/>
        <charset val="204"/>
      </rPr>
      <t>е</t>
    </r>
    <r>
      <rPr>
        <b/>
        <vertAlign val="superscript"/>
        <sz val="10"/>
        <rFont val="Times New Roman"/>
        <family val="1"/>
        <charset val="204"/>
      </rPr>
      <t>кец</t>
    </r>
    <r>
      <rPr>
        <b/>
        <sz val="10"/>
        <rFont val="Times New Roman"/>
        <family val="1"/>
        <charset val="204"/>
      </rPr>
      <t xml:space="preserve">   </t>
    </r>
  </si>
  <si>
    <r>
      <t>η</t>
    </r>
    <r>
      <rPr>
        <b/>
        <vertAlign val="subscript"/>
        <sz val="10"/>
        <rFont val="Times New Roman"/>
        <family val="1"/>
        <charset val="204"/>
      </rPr>
      <t>q</t>
    </r>
    <r>
      <rPr>
        <b/>
        <vertAlign val="superscript"/>
        <sz val="10"/>
        <rFont val="Times New Roman"/>
        <family val="1"/>
        <charset val="204"/>
      </rPr>
      <t xml:space="preserve">оц </t>
    </r>
    <r>
      <rPr>
        <b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</si>
  <si>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</si>
  <si>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комб. q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</t>
    </r>
  </si>
  <si>
    <t xml:space="preserve"> от ГТ с КУ</t>
  </si>
  <si>
    <t xml:space="preserve"> от ГТ</t>
  </si>
  <si>
    <r>
      <t xml:space="preserve">іΠ </t>
    </r>
    <r>
      <rPr>
        <vertAlign val="subscript"/>
        <sz val="9"/>
        <color indexed="8"/>
        <rFont val="Calibri"/>
        <family val="2"/>
        <charset val="204"/>
      </rPr>
      <t>ВЪР. КОНД.</t>
    </r>
    <r>
      <rPr>
        <sz val="9"/>
        <color indexed="8"/>
        <rFont val="Calibri"/>
        <family val="2"/>
        <charset val="204"/>
      </rPr>
      <t xml:space="preserve"> =</t>
    </r>
  </si>
  <si>
    <t>за подгряване на добавъчна вода и деаерация</t>
  </si>
  <si>
    <t>Стойност</t>
  </si>
  <si>
    <t xml:space="preserve">МАКСИМАЛНО РЕГИСТРИРАНА ТОПЛИННА МОЩНОСТ (с ГВ на изход ТЕЦ/ОЦ) </t>
  </si>
  <si>
    <r>
      <t>В</t>
    </r>
    <r>
      <rPr>
        <vertAlign val="subscript"/>
        <sz val="9"/>
        <color indexed="8"/>
        <rFont val="Times New Roman"/>
        <family val="1"/>
      </rPr>
      <t>1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</si>
  <si>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2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</si>
  <si>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color indexed="8"/>
        <rFont val="Times New Roman"/>
        <family val="1"/>
      </rPr>
      <t>3</t>
    </r>
    <r>
      <rPr>
        <sz val="9"/>
        <color indexed="8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</si>
  <si>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</rPr>
      <t>4</t>
    </r>
    <r>
      <rPr>
        <sz val="9"/>
        <rFont val="Times New Roman"/>
        <family val="1"/>
      </rPr>
      <t xml:space="preserve"> ЕПГ</t>
    </r>
  </si>
  <si>
    <r>
      <t>В</t>
    </r>
    <r>
      <rPr>
        <vertAlign val="sub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ГТ</t>
    </r>
  </si>
  <si>
    <r>
      <t>НЕ</t>
    </r>
    <r>
      <rPr>
        <sz val="7"/>
        <rFont val="Times New Roman"/>
        <family val="1"/>
      </rPr>
      <t>КОМБИНИРАНА ТОПЛИННА ЕНЕРГИЯ С ВОДНА ПАРА</t>
    </r>
  </si>
  <si>
    <r>
      <t xml:space="preserve">η </t>
    </r>
    <r>
      <rPr>
        <b/>
        <vertAlign val="subscript"/>
        <sz val="12"/>
        <color rgb="FF0000FF"/>
        <rFont val="Times New Roman"/>
        <family val="1"/>
        <charset val="204"/>
      </rPr>
      <t xml:space="preserve">общо </t>
    </r>
    <r>
      <rPr>
        <b/>
        <vertAlign val="subscript"/>
        <sz val="10"/>
        <color rgb="FF0000FF"/>
        <rFont val="Times New Roman"/>
        <family val="1"/>
        <charset val="204"/>
      </rPr>
      <t xml:space="preserve"> </t>
    </r>
    <r>
      <rPr>
        <b/>
        <sz val="10"/>
        <color rgb="FF0000FF"/>
        <rFont val="Times New Roman"/>
        <family val="1"/>
        <charset val="204"/>
      </rPr>
      <t>=</t>
    </r>
  </si>
  <si>
    <r>
      <rPr>
        <b/>
        <sz val="10"/>
        <color rgb="FF0000FF"/>
        <rFont val="Calibri"/>
        <family val="2"/>
        <charset val="204"/>
      </rPr>
      <t>Δ</t>
    </r>
    <r>
      <rPr>
        <b/>
        <sz val="10"/>
        <color rgb="FF0000FF"/>
        <rFont val="Times New Roman"/>
        <family val="1"/>
      </rPr>
      <t xml:space="preserve">F </t>
    </r>
    <r>
      <rPr>
        <b/>
        <sz val="8"/>
        <color rgb="FF0000FF"/>
        <rFont val="Times New Roman"/>
        <family val="1"/>
        <charset val="204"/>
      </rPr>
      <t>фактич.</t>
    </r>
  </si>
  <si>
    <r>
      <t>E</t>
    </r>
    <r>
      <rPr>
        <sz val="8"/>
        <color rgb="FF0000FF"/>
        <rFont val="Times New Roman"/>
        <family val="1"/>
        <charset val="204"/>
      </rPr>
      <t xml:space="preserve"> комб.</t>
    </r>
    <r>
      <rPr>
        <sz val="10"/>
        <color rgb="FF0000FF"/>
        <rFont val="Times New Roman"/>
        <family val="1"/>
        <charset val="204"/>
      </rPr>
      <t xml:space="preserve">  </t>
    </r>
  </si>
  <si>
    <r>
      <t>ПРОИЗВЕДЕНА  ТОПЛИННА ЕНЕРГИЯ-Q</t>
    </r>
    <r>
      <rPr>
        <i/>
        <vertAlign val="superscript"/>
        <sz val="9"/>
        <rFont val="Times New Roman"/>
        <family val="1"/>
        <charset val="204"/>
      </rPr>
      <t>KA</t>
    </r>
    <r>
      <rPr>
        <i/>
        <vertAlign val="subscript"/>
        <sz val="9"/>
        <rFont val="Times New Roman"/>
        <family val="1"/>
        <charset val="204"/>
      </rPr>
      <t>T</t>
    </r>
  </si>
  <si>
    <r>
      <t xml:space="preserve">Номерата, след количествата употребени горива и долните работни калоричности, са съгласно изгорените конкретни разновидности (виж ред 4 и 5). Попълват се </t>
    </r>
    <r>
      <rPr>
        <sz val="8"/>
        <color rgb="FF0000FF"/>
        <rFont val="Times New Roman"/>
        <family val="1"/>
        <charset val="204"/>
      </rPr>
      <t>отделно</t>
    </r>
    <r>
      <rPr>
        <sz val="8"/>
        <color rgb="FF0000FF"/>
        <rFont val="Times New Roman"/>
        <family val="1"/>
      </rPr>
      <t xml:space="preserve"> за ЕПГ и ГТ (дори еднаквите г-ва).</t>
    </r>
  </si>
  <si>
    <r>
      <t>Използваните горива от ЕПГ (и/или ВК/ППК - клетки F4 и L4) могат да бъдат до</t>
    </r>
    <r>
      <rPr>
        <b/>
        <sz val="8"/>
        <color rgb="FF0000FF"/>
        <rFont val="Times New Roman"/>
        <family val="1"/>
        <charset val="204"/>
      </rPr>
      <t xml:space="preserve"> 4 разновидности</t>
    </r>
    <r>
      <rPr>
        <sz val="8"/>
        <color rgb="FF0000FF"/>
        <rFont val="Times New Roman"/>
        <family val="1"/>
      </rPr>
      <t xml:space="preserve"> - виж падащите менюта в клетки: C9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C12 и D9</t>
    </r>
    <r>
      <rPr>
        <sz val="8"/>
        <color rgb="FF0000FF"/>
        <rFont val="Calibri"/>
        <family val="2"/>
        <charset val="204"/>
      </rPr>
      <t>÷</t>
    </r>
    <r>
      <rPr>
        <sz val="8"/>
        <color rgb="FF0000FF"/>
        <rFont val="Times New Roman"/>
        <family val="1"/>
      </rPr>
      <t>D12.</t>
    </r>
    <r>
      <rPr>
        <sz val="8"/>
        <color rgb="FF0000FF"/>
        <rFont val="Times New Roman"/>
        <family val="1"/>
        <charset val="204"/>
      </rPr>
      <t xml:space="preserve"> </t>
    </r>
  </si>
  <si>
    <r>
      <t xml:space="preserve"> </t>
    </r>
    <r>
      <rPr>
        <sz val="10"/>
        <rFont val="Times New Roman"/>
        <family val="1"/>
      </rPr>
      <t>η</t>
    </r>
    <r>
      <rPr>
        <vertAlign val="subscript"/>
        <sz val="10"/>
        <rFont val="Times New Roman"/>
        <family val="1"/>
      </rPr>
      <t xml:space="preserve">ку  </t>
    </r>
    <r>
      <rPr>
        <sz val="10"/>
        <rFont val="Times New Roman"/>
        <family val="1"/>
      </rPr>
      <t>= 90 %</t>
    </r>
  </si>
  <si>
    <r>
      <rPr>
        <sz val="10"/>
        <color rgb="FFFF99CC"/>
        <rFont val="Times New Roman"/>
        <family val="1"/>
        <charset val="204"/>
      </rPr>
      <t>←</t>
    </r>
    <r>
      <rPr>
        <sz val="10"/>
        <color rgb="FFFF99CC"/>
        <rFont val="Times New Roman"/>
        <family val="1"/>
      </rPr>
      <t>Фактор мрежа</t>
    </r>
    <r>
      <rPr>
        <sz val="10"/>
        <color rgb="FFFF99CC"/>
        <rFont val="Times New Roman"/>
        <family val="1"/>
        <charset val="204"/>
      </rPr>
      <t>→</t>
    </r>
  </si>
  <si>
    <t>ПРОИЗВЕДЕНА ЕЛ. ЕНЕРГИЯ (ЕЕ) от ТЕЦ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</si>
  <si>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/бруто/</t>
    </r>
  </si>
  <si>
    <t>ЕЕ от Не-ВЕКП</t>
  </si>
  <si>
    <r>
      <t xml:space="preserve">Върнат кондензат от потребителите - НА ВХОД ТЕЦ </t>
    </r>
    <r>
      <rPr>
        <sz val="8"/>
        <color indexed="8"/>
        <rFont val="Calibri"/>
        <family val="2"/>
        <charset val="204"/>
      </rPr>
      <t>[t]</t>
    </r>
  </si>
  <si>
    <t>→</t>
  </si>
  <si>
    <t>ВЕКП - високоефективно комбинирано произв.</t>
  </si>
  <si>
    <t>Общо ЕЕ /бруто/</t>
  </si>
  <si>
    <t>←</t>
  </si>
  <si>
    <r>
      <t>Коригиращи фактори за избегнати загуби от мрежата -</t>
    </r>
    <r>
      <rPr>
        <sz val="9"/>
        <color rgb="FF0000FF"/>
        <rFont val="Times New Roman"/>
        <family val="1"/>
        <charset val="204"/>
      </rPr>
      <t xml:space="preserve"> виж падащите менюта</t>
    </r>
    <r>
      <rPr>
        <sz val="9"/>
        <color indexed="8"/>
        <rFont val="Times New Roman"/>
        <family val="1"/>
      </rPr>
      <t xml:space="preserve"> в клетки: M117, AC117, AI117, AO117 и </t>
    </r>
    <r>
      <rPr>
        <sz val="9"/>
        <color rgb="FF0000FF"/>
        <rFont val="Times New Roman"/>
        <family val="1"/>
        <charset val="204"/>
      </rPr>
      <t>напиши правилния номер</t>
    </r>
  </si>
  <si>
    <r>
      <t xml:space="preserve">ЕЕ </t>
    </r>
    <r>
      <rPr>
        <vertAlign val="subscript"/>
        <sz val="10"/>
        <color indexed="8"/>
        <rFont val="Times New Roman"/>
        <family val="1"/>
      </rPr>
      <t>закуп. за произв.</t>
    </r>
  </si>
  <si>
    <r>
      <t xml:space="preserve">ТОПЛ. ЕНЕРГ. ВЪРНАТ КОНДЕНЗАТ - ВХОД ТЕЦ </t>
    </r>
    <r>
      <rPr>
        <sz val="7"/>
        <color indexed="8"/>
        <rFont val="Calibri"/>
        <family val="2"/>
        <charset val="204"/>
      </rPr>
      <t>[</t>
    </r>
    <r>
      <rPr>
        <sz val="7.7"/>
        <color indexed="8"/>
        <rFont val="Times New Roman"/>
        <family val="1"/>
        <charset val="204"/>
      </rPr>
      <t>MWh</t>
    </r>
    <r>
      <rPr>
        <sz val="7.7"/>
        <color indexed="8"/>
        <rFont val="Calibri"/>
        <family val="2"/>
        <charset val="204"/>
      </rPr>
      <t>]</t>
    </r>
  </si>
  <si>
    <r>
      <rPr>
        <b/>
        <sz val="12"/>
        <color rgb="FF0000FF"/>
        <rFont val="Times New Roman"/>
        <family val="1"/>
        <charset val="204"/>
      </rPr>
      <t>η</t>
    </r>
    <r>
      <rPr>
        <b/>
        <vertAlign val="subscript"/>
        <sz val="12"/>
        <color rgb="FF0000FF"/>
        <rFont val="Times New Roman"/>
        <family val="1"/>
        <charset val="204"/>
      </rPr>
      <t>общо</t>
    </r>
  </si>
  <si>
    <r>
      <rPr>
        <b/>
        <sz val="12"/>
        <rFont val="Times New Roman"/>
        <family val="1"/>
        <charset val="204"/>
      </rPr>
      <t xml:space="preserve">η </t>
    </r>
    <r>
      <rPr>
        <vertAlign val="subscript"/>
        <sz val="12"/>
        <rFont val="Times New Roman"/>
        <family val="1"/>
        <charset val="204"/>
      </rPr>
      <t>чл.4, ал.1</t>
    </r>
  </si>
  <si>
    <r>
      <t>E</t>
    </r>
    <r>
      <rPr>
        <vertAlign val="superscript"/>
        <sz val="10"/>
        <rFont val="Times New Roman"/>
        <family val="1"/>
        <charset val="204"/>
      </rPr>
      <t>бр.</t>
    </r>
    <r>
      <rPr>
        <sz val="10"/>
        <rFont val="Times New Roman"/>
        <family val="1"/>
        <charset val="204"/>
      </rPr>
      <t xml:space="preserve"> + Q</t>
    </r>
    <r>
      <rPr>
        <vertAlign val="subscript"/>
        <sz val="10"/>
        <rFont val="Times New Roman"/>
        <family val="1"/>
        <charset val="204"/>
      </rPr>
      <t>комб.</t>
    </r>
    <r>
      <rPr>
        <sz val="10"/>
        <rFont val="Times New Roman"/>
        <family val="1"/>
        <charset val="204"/>
      </rPr>
      <t xml:space="preserve">  = </t>
    </r>
  </si>
  <si>
    <t>Общо и по видове</t>
  </si>
  <si>
    <r>
      <t xml:space="preserve">ΔF </t>
    </r>
    <r>
      <rPr>
        <b/>
        <sz val="8"/>
        <rFont val="Times New Roman"/>
        <family val="1"/>
        <charset val="204"/>
      </rPr>
      <t>критерий =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</si>
  <si>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  <charset val="204"/>
      </rPr>
      <t>η</t>
    </r>
    <r>
      <rPr>
        <b/>
        <vertAlign val="subscript"/>
        <sz val="10"/>
        <rFont val="Times New Roman"/>
        <family val="1"/>
        <charset val="204"/>
      </rPr>
      <t xml:space="preserve"> общо</t>
    </r>
    <r>
      <rPr>
        <b/>
        <sz val="12"/>
        <rFont val="Times New Roman"/>
        <family val="1"/>
        <charset val="204"/>
      </rPr>
      <t xml:space="preserve">  </t>
    </r>
    <r>
      <rPr>
        <b/>
        <sz val="8"/>
        <rFont val="Times New Roman"/>
        <family val="1"/>
        <charset val="204"/>
      </rPr>
      <t>по чл. 4, ал. 1 =</t>
    </r>
  </si>
  <si>
    <r>
      <t xml:space="preserve">η </t>
    </r>
    <r>
      <rPr>
        <b/>
        <vertAlign val="subscript"/>
        <sz val="10"/>
        <rFont val="Times New Roman"/>
        <family val="1"/>
        <charset val="204"/>
      </rPr>
      <t>общо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</si>
  <si>
    <r>
      <t xml:space="preserve">ΔF </t>
    </r>
    <r>
      <rPr>
        <b/>
        <vertAlign val="subscript"/>
        <sz val="10"/>
        <rFont val="Times New Roman"/>
        <family val="1"/>
        <charset val="204"/>
      </rPr>
      <t>факт.</t>
    </r>
    <r>
      <rPr>
        <b/>
        <sz val="10"/>
        <rFont val="Times New Roman"/>
        <family val="1"/>
      </rPr>
      <t xml:space="preserve"> </t>
    </r>
    <r>
      <rPr>
        <b/>
        <sz val="8"/>
        <rFont val="Times New Roman"/>
        <family val="1"/>
        <charset val="204"/>
      </rPr>
      <t>ср. централа =</t>
    </r>
    <r>
      <rPr>
        <b/>
        <sz val="10"/>
        <rFont val="Times New Roman"/>
        <family val="1"/>
      </rPr>
      <t xml:space="preserve"> </t>
    </r>
  </si>
  <si>
    <t>за бойлерна уредба</t>
  </si>
  <si>
    <r>
      <t xml:space="preserve">ЕЕ от ВЕКП </t>
    </r>
    <r>
      <rPr>
        <sz val="6"/>
        <color rgb="FF0000FF"/>
        <rFont val="Times New Roman"/>
        <family val="1"/>
        <charset val="204"/>
      </rPr>
      <t>/нето/</t>
    </r>
  </si>
  <si>
    <t>ИЗНЕСЕНА ИЗВЪН ПЛОЩАДКАТА НА ТЕЦ ЕЛЕКТРИЧЕСКА ЕНЕРГИЯ ПО ПОКАЗАНИЯ НА  ИЗМЕРВАТЕЛЕН УРЕД :</t>
  </si>
  <si>
    <t>По електромер</t>
  </si>
  <si>
    <r>
      <t>КОМБИНИРАНА ТОПЛИННА ЕНЕРГИЯ С ВОДНА ПАРА = Q</t>
    </r>
    <r>
      <rPr>
        <vertAlign val="subscript"/>
        <sz val="7"/>
        <rFont val="Times New Roman"/>
        <family val="1"/>
        <charset val="204"/>
      </rPr>
      <t xml:space="preserve">2 </t>
    </r>
    <r>
      <rPr>
        <sz val="7"/>
        <rFont val="Times New Roman"/>
        <family val="1"/>
        <charset val="204"/>
      </rPr>
      <t>(полезна)</t>
    </r>
  </si>
  <si>
    <t>Калоричности на горивата                             (долна работна калоричност)</t>
  </si>
  <si>
    <t>ПЕРИОД НА ВЪВЕЖДАНЕ В ЕКСПЛОАТАЦИЯ</t>
  </si>
  <si>
    <t>ВЪВЕЖДАНЕ В ЕКСПЛОАТАЦИЯ</t>
  </si>
  <si>
    <r>
      <rPr>
        <b/>
        <sz val="8"/>
        <rFont val="Times New Roman"/>
        <family val="1"/>
        <charset val="204"/>
      </rPr>
      <t>η</t>
    </r>
    <r>
      <rPr>
        <sz val="8"/>
        <rFont val="Times New Roman"/>
        <family val="1"/>
        <charset val="204"/>
      </rPr>
      <t xml:space="preserve"> по чл. 4, ал. 1 = </t>
    </r>
  </si>
  <si>
    <t>За периода:</t>
  </si>
  <si>
    <r>
      <t xml:space="preserve">Е </t>
    </r>
    <r>
      <rPr>
        <vertAlign val="subscript"/>
        <sz val="8"/>
        <color indexed="8"/>
        <rFont val="Times New Roman"/>
        <family val="1"/>
      </rPr>
      <t>СН ТЕЦ</t>
    </r>
  </si>
  <si>
    <r>
      <t>ЕЕ</t>
    </r>
    <r>
      <rPr>
        <vertAlign val="subscript"/>
        <sz val="10"/>
        <color indexed="8"/>
        <rFont val="Times New Roman"/>
        <family val="1"/>
        <charset val="204"/>
      </rPr>
      <t xml:space="preserve"> соб.потр.(филиал)</t>
    </r>
  </si>
  <si>
    <r>
      <t>F</t>
    </r>
    <r>
      <rPr>
        <vertAlign val="subscript"/>
        <sz val="8"/>
        <rFont val="Times New Roman"/>
        <family val="1"/>
      </rPr>
      <t>комб.</t>
    </r>
    <r>
      <rPr>
        <sz val="8"/>
        <rFont val="Times New Roman"/>
        <family val="1"/>
      </rPr>
      <t>=F</t>
    </r>
    <r>
      <rPr>
        <vertAlign val="superscript"/>
        <sz val="8"/>
        <rFont val="Times New Roman"/>
        <family val="1"/>
      </rPr>
      <t>Т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>некомб.е</t>
    </r>
    <r>
      <rPr>
        <sz val="8"/>
        <rFont val="Times New Roman"/>
        <family val="1"/>
      </rPr>
      <t>-F</t>
    </r>
    <r>
      <rPr>
        <vertAlign val="subscript"/>
        <sz val="8"/>
        <rFont val="Times New Roman"/>
        <family val="1"/>
      </rPr>
      <t xml:space="preserve">некомб.q </t>
    </r>
    <r>
      <rPr>
        <sz val="8"/>
        <rFont val="Times New Roman"/>
        <family val="1"/>
      </rPr>
      <t>=</t>
    </r>
  </si>
  <si>
    <r>
      <t>F</t>
    </r>
    <r>
      <rPr>
        <vertAlign val="subscript"/>
        <sz val="8"/>
        <rFont val="Times New Roman"/>
        <family val="1"/>
        <charset val="204"/>
      </rPr>
      <t>комб.</t>
    </r>
    <r>
      <rPr>
        <sz val="8"/>
        <rFont val="Times New Roman"/>
        <family val="1"/>
        <charset val="204"/>
      </rPr>
      <t>+F</t>
    </r>
    <r>
      <rPr>
        <vertAlign val="subscript"/>
        <sz val="8"/>
        <rFont val="Times New Roman"/>
        <family val="1"/>
        <charset val="204"/>
      </rPr>
      <t>некомб.е</t>
    </r>
    <r>
      <rPr>
        <sz val="8"/>
        <rFont val="Times New Roman"/>
        <family val="1"/>
        <charset val="204"/>
      </rPr>
      <t>= F</t>
    </r>
    <r>
      <rPr>
        <vertAlign val="superscript"/>
        <sz val="8"/>
        <rFont val="Times New Roman"/>
        <family val="1"/>
        <charset val="204"/>
      </rPr>
      <t>Т</t>
    </r>
    <r>
      <rPr>
        <sz val="8"/>
        <rFont val="Times New Roman"/>
        <family val="1"/>
        <charset val="204"/>
      </rPr>
      <t>-F</t>
    </r>
    <r>
      <rPr>
        <vertAlign val="subscript"/>
        <sz val="8"/>
        <rFont val="Times New Roman"/>
        <family val="1"/>
        <charset val="204"/>
      </rPr>
      <t>некомб.q</t>
    </r>
    <r>
      <rPr>
        <sz val="8"/>
        <rFont val="Times New Roman"/>
        <family val="1"/>
        <charset val="204"/>
      </rPr>
      <t xml:space="preserve"> = </t>
    </r>
  </si>
  <si>
    <r>
      <t>η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  <r>
      <rPr>
        <b/>
        <vertAlign val="subscript"/>
        <sz val="10"/>
        <rFont val="Times New Roman"/>
        <family val="1"/>
        <charset val="204"/>
      </rPr>
      <t xml:space="preserve">  </t>
    </r>
  </si>
  <si>
    <r>
      <t>E</t>
    </r>
    <r>
      <rPr>
        <b/>
        <vertAlign val="subscript"/>
        <sz val="10"/>
        <rFont val="Times New Roman"/>
        <family val="1"/>
        <charset val="204"/>
      </rPr>
      <t xml:space="preserve"> некомб.</t>
    </r>
    <r>
      <rPr>
        <b/>
        <sz val="10"/>
        <rFont val="Times New Roman"/>
        <family val="1"/>
        <charset val="204"/>
      </rPr>
      <t xml:space="preserve"> </t>
    </r>
  </si>
  <si>
    <r>
      <t>F</t>
    </r>
    <r>
      <rPr>
        <b/>
        <vertAlign val="subscript"/>
        <sz val="10"/>
        <rFont val="Times New Roman"/>
        <family val="1"/>
        <charset val="204"/>
      </rPr>
      <t xml:space="preserve"> некомб.е</t>
    </r>
    <r>
      <rPr>
        <b/>
        <sz val="10"/>
        <rFont val="Times New Roman"/>
        <family val="1"/>
        <charset val="204"/>
      </rPr>
      <t xml:space="preserve"> </t>
    </r>
  </si>
  <si>
    <t>КОЛИЧЕСТВО ВОДНА ПАРА в т.ч.:</t>
  </si>
  <si>
    <t>ТОПЛИННА  ЕНЕРГИЯ С ГОРЕЩА ВОДА в т.ч.:</t>
  </si>
  <si>
    <t xml:space="preserve"> от Добавъчна вода (подпитка)</t>
  </si>
  <si>
    <t xml:space="preserve">"..................................." ЕАД (АД, ООД, ЕООД) </t>
  </si>
  <si>
    <t>ТЕЦ "……………….. "</t>
  </si>
  <si>
    <t>.........-........</t>
  </si>
  <si>
    <t>20.. г.</t>
  </si>
  <si>
    <t>Собственост на ЕСО</t>
  </si>
  <si>
    <t>Собственост на ЕРП</t>
  </si>
  <si>
    <t>Директни електропро- води по чл. 119, ал. 2</t>
  </si>
  <si>
    <t xml:space="preserve">Сума на ЕЕ по чл. 162, ал.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</si>
</sst>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&quot; t&quot;"/>
    <numFmt numFmtId="165" formatCode="0.0%"/>
    <numFmt numFmtId="166" formatCode="#,##0.000"/>
    <numFmt numFmtId="167" formatCode="mmmm"/>
    <numFmt numFmtId="168" formatCode="#,##0.0"/>
    <numFmt numFmtId="169" formatCode="&quot;diп = Dп/Qп = &quot;#,##0.0"/>
    <numFmt numFmtId="170" formatCode="0.000"/>
    <numFmt numFmtId="171" formatCode="&quot;ДОПЪЛНИТЕЛНИ ДАННИ ЗА  &quot;0&quot; г.&quot;"/>
    <numFmt numFmtId="172" formatCode="#,##0.000&quot; MWh&quot;"/>
    <numFmt numFmtId="173" formatCode="&quot;Е собствено потребление = &quot;#,##0.00&quot; MWh&quot;"/>
    <numFmt numFmtId="174" formatCode="&quot;ВСИЧКО = &quot;0.00%"/>
    <numFmt numFmtId="175" formatCode="&quot;ОБЩО = &quot;0.00%"/>
    <numFmt numFmtId="176" formatCode="0.0000"/>
    <numFmt numFmtId="177" formatCode="#,##0.0000"/>
    <numFmt numFmtId="178" formatCode="0&quot; г.&quot;"/>
    <numFmt numFmtId="179" formatCode="0.0"/>
    <numFmt numFmtId="180" formatCode="_-* #,##0.00\ _л_в_-;\-* #,##0.00\ _л_в_-;_-* \-??\ _л_в_-;_-@_-"/>
    <numFmt numFmtId="181" formatCode="&quot;месец - &quot;mm"/>
    <numFmt numFmtId="182" formatCode="0.0&quot; °C&quot;"/>
  </numFmts>
  <fonts count="108">
    <font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</font>
    <font>
      <sz val="9"/>
      <color indexed="8"/>
      <name val="Times New Roman"/>
      <family val="1"/>
    </font>
    <font>
      <vertAlign val="subscript"/>
      <sz val="9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ok"/>
    </font>
    <font>
      <sz val="10"/>
      <name val="Times New Roman"/>
      <family val="1"/>
    </font>
    <font>
      <vertAlign val="superscript"/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color indexed="10"/>
      <name val="Times New Roman"/>
      <family val="1"/>
    </font>
    <font>
      <sz val="7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indexed="12"/>
      <name val="Times New Roman"/>
      <family val="1"/>
    </font>
    <font>
      <vertAlign val="subscript"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2"/>
    </font>
    <font>
      <b/>
      <sz val="7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vertAlign val="superscript"/>
      <sz val="10"/>
      <color indexed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10"/>
      <color indexed="27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2"/>
      <charset val="204"/>
    </font>
    <font>
      <sz val="8"/>
      <color indexed="12"/>
      <name val="Times New Roman"/>
      <family val="1"/>
      <charset val="204"/>
    </font>
    <font>
      <vertAlign val="superscript"/>
      <sz val="9"/>
      <color indexed="8"/>
      <name val="Times New Roman"/>
      <family val="1"/>
    </font>
    <font>
      <sz val="8"/>
      <color rgb="FF0000FF"/>
      <name val="Times New Roman"/>
      <family val="1"/>
    </font>
    <font>
      <b/>
      <sz val="6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0000FF"/>
      <name val="Times New Roman"/>
      <family val="1"/>
    </font>
    <font>
      <sz val="10"/>
      <name val="Calibri"/>
      <family val="2"/>
      <charset val="204"/>
    </font>
    <font>
      <b/>
      <sz val="7"/>
      <color rgb="FF0000FF"/>
      <name val="Times New Roman"/>
      <family val="1"/>
    </font>
    <font>
      <sz val="8"/>
      <color rgb="FF0000FF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sz val="8"/>
      <color rgb="FF0000FF"/>
      <name val="Calibri"/>
      <family val="2"/>
      <charset val="204"/>
    </font>
    <font>
      <b/>
      <sz val="7"/>
      <color rgb="FF0000FF"/>
      <name val="Times New Roman"/>
      <family val="1"/>
      <charset val="204"/>
    </font>
    <font>
      <b/>
      <sz val="9"/>
      <name val="Times New Roman"/>
      <family val="1"/>
    </font>
    <font>
      <sz val="10"/>
      <color rgb="FFFF0000"/>
      <name val="Times New Roman"/>
      <family val="2"/>
      <charset val="204"/>
    </font>
    <font>
      <sz val="9"/>
      <color indexed="8"/>
      <name val="Calibri"/>
      <family val="2"/>
      <charset val="204"/>
    </font>
    <font>
      <vertAlign val="subscript"/>
      <sz val="9"/>
      <color indexed="8"/>
      <name val="Calibri"/>
      <family val="2"/>
      <charset val="204"/>
    </font>
    <font>
      <sz val="9"/>
      <name val="Times New Roman"/>
      <family val="1"/>
    </font>
    <font>
      <sz val="9"/>
      <color rgb="FF0000FF"/>
      <name val="Times New Roman"/>
      <family val="1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bscript"/>
      <sz val="9"/>
      <name val="Times New Roman"/>
      <family val="1"/>
    </font>
    <font>
      <b/>
      <u/>
      <sz val="7"/>
      <name val="Times New Roman"/>
      <family val="1"/>
    </font>
    <font>
      <sz val="7"/>
      <color indexed="8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vertAlign val="subscript"/>
      <sz val="12"/>
      <color rgb="FF0000FF"/>
      <name val="Times New Roman"/>
      <family val="1"/>
      <charset val="204"/>
    </font>
    <font>
      <b/>
      <vertAlign val="subscript"/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2"/>
      <color rgb="FF0000FF"/>
      <name val="Calibri"/>
      <family val="2"/>
      <charset val="204"/>
    </font>
    <font>
      <b/>
      <sz val="10"/>
      <color rgb="FF0000FF"/>
      <name val="Times New Roman"/>
      <family val="1"/>
    </font>
    <font>
      <b/>
      <sz val="10"/>
      <color rgb="FF0000FF"/>
      <name val="Calibri"/>
      <family val="2"/>
      <charset val="204"/>
    </font>
    <font>
      <i/>
      <vertAlign val="superscript"/>
      <sz val="9"/>
      <name val="Times New Roman"/>
      <family val="1"/>
      <charset val="204"/>
    </font>
    <font>
      <i/>
      <vertAlign val="subscript"/>
      <sz val="9"/>
      <name val="Times New Roman"/>
      <family val="1"/>
      <charset val="204"/>
    </font>
    <font>
      <sz val="10"/>
      <color rgb="FFFF99CC"/>
      <name val="Times New Roman"/>
      <family val="1"/>
    </font>
    <font>
      <sz val="10"/>
      <color rgb="FFFF99CC"/>
      <name val="Times New Roman"/>
      <family val="1"/>
      <charset val="204"/>
    </font>
    <font>
      <sz val="6"/>
      <color rgb="FF0000FF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rgb="FF0000FF"/>
      <name val="Times New Roman"/>
      <family val="2"/>
      <charset val="204"/>
    </font>
    <font>
      <b/>
      <sz val="9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sz val="7.7"/>
      <color indexed="8"/>
      <name val="Times New Roman"/>
      <family val="1"/>
      <charset val="204"/>
    </font>
    <font>
      <sz val="7.7"/>
      <color indexed="8"/>
      <name val="Calibri"/>
      <family val="2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b/>
      <sz val="7.5"/>
      <name val="Times New Roman"/>
      <family val="1"/>
      <charset val="204"/>
    </font>
    <font>
      <sz val="9"/>
      <color indexed="10"/>
      <name val="Times New Roman"/>
      <family val="1"/>
    </font>
    <font>
      <vertAlign val="subscript"/>
      <sz val="7"/>
      <name val="Times New Roman"/>
      <family val="1"/>
      <charset val="204"/>
    </font>
    <font>
      <sz val="6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vertAlign val="subscript"/>
      <sz val="8"/>
      <name val="Times New Roman"/>
      <family val="1"/>
    </font>
    <font>
      <vertAlign val="subscript"/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CCFFCC"/>
        <bgColor indexed="64"/>
      </patternFill>
    </fill>
    <fill>
      <patternFill patternType="solid">
        <fgColor rgb="FFCCFF33"/>
        <bgColor indexed="27"/>
      </patternFill>
    </fill>
    <fill>
      <patternFill patternType="solid">
        <fgColor rgb="FFCCFF33"/>
        <bgColor indexed="26"/>
      </patternFill>
    </fill>
    <fill>
      <patternFill patternType="solid">
        <fgColor rgb="FFCCFF3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indexed="26"/>
      </patternFill>
    </fill>
    <fill>
      <patternFill patternType="solid">
        <fgColor theme="4" tint="0.59996337778862885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FF99CC"/>
        <bgColor indexed="27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8"/>
      </right>
      <top style="thin">
        <color indexed="58"/>
      </top>
      <bottom style="thin">
        <color indexed="59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58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8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thin">
        <color indexed="59"/>
      </right>
      <top style="medium">
        <color indexed="58"/>
      </top>
      <bottom style="medium">
        <color indexed="58"/>
      </bottom>
      <diagonal/>
    </border>
    <border>
      <left style="thin">
        <color indexed="59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 diagonalUp="1" diagonalDown="1"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 style="thin">
        <color indexed="59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8"/>
      </bottom>
      <diagonal/>
    </border>
    <border>
      <left style="thin">
        <color indexed="59"/>
      </left>
      <right/>
      <top style="thin">
        <color indexed="59"/>
      </top>
      <bottom style="thin">
        <color indexed="64"/>
      </bottom>
      <diagonal/>
    </border>
    <border>
      <left/>
      <right/>
      <top style="thin">
        <color indexed="59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/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8"/>
      </left>
      <right/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 style="thin">
        <color indexed="58"/>
      </top>
      <bottom style="thin">
        <color indexed="59"/>
      </bottom>
      <diagonal/>
    </border>
    <border>
      <left/>
      <right/>
      <top style="thin">
        <color indexed="58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64"/>
      </bottom>
      <diagonal/>
    </border>
    <border>
      <left/>
      <right/>
      <top style="thin">
        <color indexed="58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59"/>
      </left>
      <right style="medium">
        <color indexed="58"/>
      </right>
      <top/>
      <bottom style="medium">
        <color indexed="58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9"/>
      </left>
      <right style="medium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/>
      <bottom style="medium">
        <color indexed="58"/>
      </bottom>
      <diagonal/>
    </border>
    <border>
      <left style="thin">
        <color indexed="59"/>
      </left>
      <right style="thin">
        <color indexed="59"/>
      </right>
      <top/>
      <bottom style="medium">
        <color indexed="58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double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double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 style="thin">
        <color indexed="59"/>
      </top>
      <bottom style="medium">
        <color indexed="64"/>
      </bottom>
      <diagonal/>
    </border>
    <border>
      <left/>
      <right/>
      <top style="thin">
        <color indexed="59"/>
      </top>
      <bottom style="medium">
        <color indexed="64"/>
      </bottom>
      <diagonal/>
    </border>
    <border>
      <left/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thin">
        <color indexed="59"/>
      </left>
      <right/>
      <top style="double">
        <color indexed="64"/>
      </top>
      <bottom style="thin">
        <color indexed="59"/>
      </bottom>
      <diagonal/>
    </border>
    <border>
      <left/>
      <right/>
      <top style="double">
        <color indexed="64"/>
      </top>
      <bottom style="thin">
        <color indexed="59"/>
      </bottom>
      <diagonal/>
    </border>
    <border>
      <left/>
      <right style="thin">
        <color indexed="59"/>
      </right>
      <top style="double">
        <color indexed="64"/>
      </top>
      <bottom style="thin">
        <color indexed="59"/>
      </bottom>
      <diagonal/>
    </border>
    <border>
      <left style="thin">
        <color indexed="59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59"/>
      </right>
      <top style="double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64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59"/>
      </bottom>
      <diagonal/>
    </border>
    <border>
      <left/>
      <right style="thin">
        <color indexed="59"/>
      </right>
      <top style="thin">
        <color indexed="64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double">
        <color indexed="64"/>
      </bottom>
      <diagonal/>
    </border>
    <border>
      <left/>
      <right/>
      <top style="thin">
        <color indexed="59"/>
      </top>
      <bottom style="double">
        <color indexed="64"/>
      </bottom>
      <diagonal/>
    </border>
    <border>
      <left/>
      <right style="thin">
        <color indexed="59"/>
      </right>
      <top style="thin">
        <color indexed="59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 style="double">
        <color indexed="64"/>
      </bottom>
      <diagonal/>
    </border>
    <border>
      <left style="thin">
        <color indexed="59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59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80" fontId="1" fillId="0" borderId="0" applyFill="0" applyBorder="0" applyAlignment="0" applyProtection="0"/>
    <xf numFmtId="0" fontId="23" fillId="0" borderId="0"/>
    <xf numFmtId="0" fontId="12" fillId="0" borderId="0"/>
  </cellStyleXfs>
  <cellXfs count="605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26" fillId="2" borderId="8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180" fontId="45" fillId="0" borderId="0" xfId="1" applyFont="1" applyFill="1" applyBorder="1" applyAlignment="1" applyProtection="1"/>
    <xf numFmtId="0" fontId="13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49" fillId="0" borderId="0" xfId="0" applyFont="1"/>
    <xf numFmtId="0" fontId="48" fillId="0" borderId="14" xfId="0" applyFont="1" applyBorder="1" applyProtection="1">
      <protection hidden="1"/>
    </xf>
    <xf numFmtId="0" fontId="48" fillId="0" borderId="0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8" fillId="0" borderId="0" xfId="0" applyFont="1" applyProtection="1">
      <protection hidden="1"/>
    </xf>
    <xf numFmtId="0" fontId="32" fillId="2" borderId="4" xfId="0" applyFont="1" applyFill="1" applyBorder="1" applyAlignment="1" applyProtection="1">
      <alignment horizontal="center" vertic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1" fontId="26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1" fontId="13" fillId="2" borderId="4" xfId="0" applyNumberFormat="1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/>
    </xf>
    <xf numFmtId="0" fontId="26" fillId="2" borderId="12" xfId="0" applyFont="1" applyFill="1" applyBorder="1" applyAlignment="1" applyProtection="1">
      <alignment horizontal="center"/>
    </xf>
    <xf numFmtId="0" fontId="26" fillId="5" borderId="11" xfId="0" applyFont="1" applyFill="1" applyBorder="1" applyAlignment="1" applyProtection="1">
      <alignment horizontal="center"/>
    </xf>
    <xf numFmtId="0" fontId="26" fillId="5" borderId="8" xfId="0" applyFont="1" applyFill="1" applyBorder="1" applyAlignment="1" applyProtection="1">
      <alignment horizontal="center"/>
    </xf>
    <xf numFmtId="0" fontId="26" fillId="5" borderId="12" xfId="0" applyFont="1" applyFill="1" applyBorder="1" applyAlignment="1" applyProtection="1">
      <alignment horizontal="center"/>
    </xf>
    <xf numFmtId="0" fontId="26" fillId="4" borderId="11" xfId="0" applyFont="1" applyFill="1" applyBorder="1" applyAlignment="1" applyProtection="1">
      <alignment horizontal="center"/>
    </xf>
    <xf numFmtId="0" fontId="26" fillId="4" borderId="8" xfId="0" applyFont="1" applyFill="1" applyBorder="1" applyAlignment="1" applyProtection="1">
      <alignment horizontal="center"/>
    </xf>
    <xf numFmtId="0" fontId="26" fillId="4" borderId="12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center"/>
    </xf>
    <xf numFmtId="0" fontId="32" fillId="7" borderId="8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32" fillId="2" borderId="11" xfId="0" applyFont="1" applyFill="1" applyBorder="1" applyAlignment="1" applyProtection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60" fillId="7" borderId="24" xfId="0" applyFont="1" applyFill="1" applyBorder="1" applyAlignment="1" applyProtection="1">
      <alignment horizontal="center" vertical="center"/>
    </xf>
    <xf numFmtId="1" fontId="2" fillId="10" borderId="13" xfId="0" applyNumberFormat="1" applyFont="1" applyFill="1" applyBorder="1" applyAlignment="1" applyProtection="1">
      <alignment horizontal="center" vertical="center"/>
      <protection locked="0"/>
    </xf>
    <xf numFmtId="1" fontId="4" fillId="11" borderId="8" xfId="0" applyNumberFormat="1" applyFont="1" applyFill="1" applyBorder="1" applyAlignment="1" applyProtection="1">
      <alignment horizontal="center" vertical="center"/>
      <protection locked="0"/>
    </xf>
    <xf numFmtId="1" fontId="4" fillId="11" borderId="7" xfId="0" applyNumberFormat="1" applyFont="1" applyFill="1" applyBorder="1" applyAlignment="1" applyProtection="1">
      <alignment horizontal="center" vertical="center"/>
      <protection locked="0"/>
    </xf>
    <xf numFmtId="1" fontId="4" fillId="11" borderId="35" xfId="0" applyNumberFormat="1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" fontId="2" fillId="10" borderId="5" xfId="0" applyNumberFormat="1" applyFont="1" applyFill="1" applyBorder="1" applyAlignment="1" applyProtection="1">
      <alignment horizontal="center" vertical="center"/>
      <protection locked="0"/>
    </xf>
    <xf numFmtId="0" fontId="61" fillId="2" borderId="24" xfId="0" applyFont="1" applyFill="1" applyBorder="1" applyAlignment="1" applyProtection="1">
      <alignment horizontal="center" vertical="center"/>
    </xf>
    <xf numFmtId="0" fontId="61" fillId="13" borderId="24" xfId="0" applyFont="1" applyFill="1" applyBorder="1" applyAlignment="1" applyProtection="1">
      <alignment horizontal="center" vertical="center"/>
    </xf>
    <xf numFmtId="0" fontId="61" fillId="2" borderId="45" xfId="0" applyFont="1" applyFill="1" applyBorder="1" applyAlignment="1" applyProtection="1">
      <alignment horizontal="center" vertical="center"/>
    </xf>
    <xf numFmtId="0" fontId="61" fillId="13" borderId="31" xfId="0" applyFont="1" applyFill="1" applyBorder="1" applyAlignment="1" applyProtection="1">
      <alignment horizontal="center" vertical="center"/>
    </xf>
    <xf numFmtId="0" fontId="60" fillId="7" borderId="2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0" fillId="10" borderId="24" xfId="0" applyFill="1" applyBorder="1" applyProtection="1">
      <protection locked="0"/>
    </xf>
    <xf numFmtId="0" fontId="61" fillId="12" borderId="24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4" fillId="0" borderId="0" xfId="0" applyFont="1" applyAlignment="1">
      <alignment horizontal="center"/>
    </xf>
    <xf numFmtId="0" fontId="7" fillId="0" borderId="0" xfId="2" applyFont="1" applyFill="1" applyBorder="1" applyAlignment="1" applyProtection="1">
      <alignment vertical="center" wrapText="1"/>
    </xf>
    <xf numFmtId="172" fontId="2" fillId="0" borderId="0" xfId="0" applyNumberFormat="1" applyFont="1" applyFill="1" applyBorder="1" applyAlignment="1" applyProtection="1">
      <alignment vertical="center"/>
    </xf>
    <xf numFmtId="173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/>
    <xf numFmtId="0" fontId="4" fillId="0" borderId="66" xfId="0" applyFont="1" applyBorder="1"/>
    <xf numFmtId="0" fontId="4" fillId="0" borderId="76" xfId="0" applyFont="1" applyBorder="1"/>
    <xf numFmtId="0" fontId="4" fillId="0" borderId="77" xfId="0" applyFont="1" applyBorder="1"/>
    <xf numFmtId="0" fontId="61" fillId="12" borderId="111" xfId="0" applyFont="1" applyFill="1" applyBorder="1" applyAlignment="1" applyProtection="1">
      <alignment horizontal="center" vertical="center"/>
      <protection locked="0"/>
    </xf>
    <xf numFmtId="0" fontId="61" fillId="2" borderId="111" xfId="0" applyFont="1" applyFill="1" applyBorder="1" applyAlignment="1" applyProtection="1">
      <alignment horizontal="center" vertical="center"/>
    </xf>
    <xf numFmtId="0" fontId="9" fillId="1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center" vertical="top" wrapText="1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4" fillId="2" borderId="8" xfId="2" applyFont="1" applyFill="1" applyBorder="1" applyAlignment="1" applyProtection="1">
      <alignment horizontal="left" vertical="center" wrapText="1"/>
      <protection hidden="1"/>
    </xf>
    <xf numFmtId="0" fontId="26" fillId="2" borderId="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8" fillId="2" borderId="4" xfId="0" applyFont="1" applyFill="1" applyBorder="1" applyAlignment="1" applyProtection="1">
      <alignment horizontal="right"/>
      <protection hidden="1"/>
    </xf>
    <xf numFmtId="181" fontId="4" fillId="2" borderId="4" xfId="0" applyNumberFormat="1" applyFont="1" applyFill="1" applyBorder="1" applyAlignment="1" applyProtection="1">
      <alignment horizontal="right" vertic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41" fillId="2" borderId="4" xfId="0" applyFont="1" applyFill="1" applyBorder="1" applyAlignment="1" applyProtection="1">
      <alignment horizontal="center"/>
      <protection hidden="1"/>
    </xf>
    <xf numFmtId="0" fontId="40" fillId="2" borderId="4" xfId="0" applyFont="1" applyFill="1" applyBorder="1" applyAlignment="1" applyProtection="1">
      <alignment horizontal="right"/>
      <protection hidden="1"/>
    </xf>
    <xf numFmtId="0" fontId="41" fillId="2" borderId="4" xfId="0" applyFont="1" applyFill="1" applyBorder="1" applyAlignment="1" applyProtection="1">
      <alignment horizontal="right"/>
      <protection hidden="1"/>
    </xf>
    <xf numFmtId="0" fontId="52" fillId="2" borderId="4" xfId="0" applyFont="1" applyFill="1" applyBorder="1" applyAlignment="1" applyProtection="1">
      <alignment horizontal="right" vertical="center"/>
      <protection hidden="1"/>
    </xf>
    <xf numFmtId="0" fontId="26" fillId="2" borderId="4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0" fontId="19" fillId="2" borderId="5" xfId="0" applyFont="1" applyFill="1" applyBorder="1" applyAlignment="1" applyProtection="1">
      <alignment horizontal="center" vertical="center"/>
      <protection hidden="1"/>
    </xf>
    <xf numFmtId="0" fontId="26" fillId="2" borderId="4" xfId="0" applyFont="1" applyFill="1" applyBorder="1" applyAlignment="1" applyProtection="1">
      <alignment horizontal="right" vertical="center"/>
      <protection hidden="1"/>
    </xf>
    <xf numFmtId="0" fontId="26" fillId="2" borderId="5" xfId="0" applyFont="1" applyFill="1" applyBorder="1" applyAlignment="1" applyProtection="1">
      <alignment horizontal="center" vertical="center"/>
      <protection hidden="1"/>
    </xf>
    <xf numFmtId="0" fontId="53" fillId="2" borderId="4" xfId="0" applyFont="1" applyFill="1" applyBorder="1" applyAlignment="1" applyProtection="1">
      <alignment horizontal="right" vertical="center"/>
      <protection hidden="1"/>
    </xf>
    <xf numFmtId="0" fontId="26" fillId="2" borderId="15" xfId="0" applyFont="1" applyFill="1" applyBorder="1" applyAlignment="1" applyProtection="1">
      <alignment horizontal="right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8" fillId="0" borderId="8" xfId="0" applyFont="1" applyBorder="1" applyAlignment="1" applyProtection="1">
      <alignment horizontal="left"/>
      <protection hidden="1"/>
    </xf>
    <xf numFmtId="0" fontId="32" fillId="2" borderId="8" xfId="0" applyFont="1" applyFill="1" applyBorder="1" applyAlignment="1" applyProtection="1">
      <alignment horizontal="right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>
      <alignment horizontal="left"/>
    </xf>
    <xf numFmtId="0" fontId="48" fillId="0" borderId="8" xfId="0" applyFont="1" applyBorder="1" applyAlignment="1" applyProtection="1">
      <alignment horizontal="left" vertical="center"/>
      <protection hidden="1"/>
    </xf>
    <xf numFmtId="0" fontId="26" fillId="2" borderId="8" xfId="0" applyFont="1" applyFill="1" applyBorder="1" applyAlignment="1" applyProtection="1">
      <alignment horizontal="right" vertical="center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36" fillId="2" borderId="8" xfId="0" applyFont="1" applyFill="1" applyBorder="1" applyAlignment="1" applyProtection="1">
      <alignment horizontal="right" vertical="center"/>
      <protection hidden="1"/>
    </xf>
    <xf numFmtId="0" fontId="54" fillId="0" borderId="8" xfId="0" applyFont="1" applyBorder="1" applyAlignment="1">
      <alignment horizontal="left"/>
    </xf>
    <xf numFmtId="0" fontId="37" fillId="2" borderId="8" xfId="0" applyFont="1" applyFill="1" applyBorder="1" applyAlignment="1" applyProtection="1">
      <alignment horizontal="right"/>
      <protection hidden="1"/>
    </xf>
    <xf numFmtId="0" fontId="34" fillId="2" borderId="8" xfId="0" applyFont="1" applyFill="1" applyBorder="1" applyAlignment="1" applyProtection="1">
      <alignment horizontal="right" vertical="center"/>
      <protection hidden="1"/>
    </xf>
    <xf numFmtId="0" fontId="31" fillId="2" borderId="8" xfId="0" applyNumberFormat="1" applyFont="1" applyFill="1" applyBorder="1" applyAlignment="1" applyProtection="1">
      <alignment horizontal="right" vertical="center"/>
      <protection hidden="1"/>
    </xf>
    <xf numFmtId="0" fontId="29" fillId="2" borderId="8" xfId="0" applyFont="1" applyFill="1" applyBorder="1" applyAlignment="1" applyProtection="1">
      <alignment horizontal="left" vertical="center"/>
      <protection hidden="1"/>
    </xf>
    <xf numFmtId="0" fontId="32" fillId="2" borderId="5" xfId="0" applyFont="1" applyFill="1" applyBorder="1" applyAlignment="1" applyProtection="1">
      <alignment horizontal="right" vertical="center"/>
      <protection hidden="1"/>
    </xf>
    <xf numFmtId="0" fontId="26" fillId="2" borderId="5" xfId="0" applyFont="1" applyFill="1" applyBorder="1" applyAlignment="1" applyProtection="1">
      <alignment horizontal="right" vertical="center"/>
      <protection hidden="1"/>
    </xf>
    <xf numFmtId="0" fontId="48" fillId="0" borderId="8" xfId="0" applyFont="1" applyBorder="1" applyAlignment="1">
      <alignment horizontal="left"/>
    </xf>
    <xf numFmtId="172" fontId="2" fillId="2" borderId="19" xfId="0" applyNumberFormat="1" applyFont="1" applyFill="1" applyBorder="1" applyAlignment="1" applyProtection="1">
      <alignment horizontal="right" vertical="center"/>
    </xf>
    <xf numFmtId="172" fontId="2" fillId="2" borderId="98" xfId="0" applyNumberFormat="1" applyFont="1" applyFill="1" applyBorder="1" applyAlignment="1" applyProtection="1">
      <alignment horizontal="right" vertical="center"/>
    </xf>
    <xf numFmtId="172" fontId="40" fillId="2" borderId="52" xfId="0" applyNumberFormat="1" applyFont="1" applyFill="1" applyBorder="1" applyAlignment="1" applyProtection="1">
      <alignment horizontal="center" vertical="center"/>
    </xf>
    <xf numFmtId="10" fontId="26" fillId="2" borderId="8" xfId="0" applyNumberFormat="1" applyFont="1" applyFill="1" applyBorder="1" applyAlignment="1" applyProtection="1">
      <alignment horizontal="center" vertical="center"/>
    </xf>
    <xf numFmtId="3" fontId="26" fillId="10" borderId="8" xfId="0" applyNumberFormat="1" applyFont="1" applyFill="1" applyBorder="1" applyAlignment="1" applyProtection="1">
      <alignment horizontal="center" vertical="center"/>
      <protection locked="0"/>
    </xf>
    <xf numFmtId="3" fontId="26" fillId="2" borderId="8" xfId="0" applyNumberFormat="1" applyFont="1" applyFill="1" applyBorder="1" applyAlignment="1" applyProtection="1">
      <alignment horizontal="center" vertical="center"/>
    </xf>
    <xf numFmtId="0" fontId="64" fillId="2" borderId="8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center" vertical="center"/>
    </xf>
    <xf numFmtId="0" fontId="100" fillId="2" borderId="78" xfId="0" applyFont="1" applyFill="1" applyBorder="1" applyAlignment="1" applyProtection="1">
      <alignment horizontal="center" vertical="center"/>
    </xf>
    <xf numFmtId="174" fontId="68" fillId="2" borderId="78" xfId="0" applyNumberFormat="1" applyFont="1" applyFill="1" applyBorder="1" applyAlignment="1" applyProtection="1">
      <alignment horizontal="center" vertical="center"/>
    </xf>
    <xf numFmtId="0" fontId="11" fillId="2" borderId="78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10" fontId="4" fillId="2" borderId="8" xfId="0" applyNumberFormat="1" applyFont="1" applyFill="1" applyBorder="1" applyAlignment="1" applyProtection="1">
      <alignment horizontal="center" vertical="center"/>
    </xf>
    <xf numFmtId="0" fontId="60" fillId="2" borderId="7" xfId="0" applyNumberFormat="1" applyFont="1" applyFill="1" applyBorder="1" applyAlignment="1" applyProtection="1">
      <alignment horizontal="center" vertical="center"/>
    </xf>
    <xf numFmtId="0" fontId="60" fillId="2" borderId="10" xfId="0" applyNumberFormat="1" applyFont="1" applyFill="1" applyBorder="1" applyAlignment="1" applyProtection="1">
      <alignment horizontal="center" vertical="center"/>
    </xf>
    <xf numFmtId="0" fontId="67" fillId="2" borderId="10" xfId="0" applyNumberFormat="1" applyFont="1" applyFill="1" applyBorder="1" applyAlignment="1" applyProtection="1">
      <alignment horizontal="center" vertical="center"/>
    </xf>
    <xf numFmtId="0" fontId="67" fillId="2" borderId="9" xfId="0" applyNumberFormat="1" applyFont="1" applyFill="1" applyBorder="1" applyAlignment="1" applyProtection="1">
      <alignment horizontal="center" vertical="center"/>
    </xf>
    <xf numFmtId="0" fontId="32" fillId="2" borderId="7" xfId="0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 applyProtection="1">
      <alignment horizontal="center" vertical="center"/>
    </xf>
    <xf numFmtId="0" fontId="32" fillId="2" borderId="8" xfId="0" applyFont="1" applyFill="1" applyBorder="1" applyAlignment="1" applyProtection="1">
      <alignment horizontal="right" vertical="center"/>
    </xf>
    <xf numFmtId="0" fontId="73" fillId="2" borderId="97" xfId="0" applyFont="1" applyFill="1" applyBorder="1" applyAlignment="1" applyProtection="1">
      <alignment horizontal="left" vertical="center"/>
    </xf>
    <xf numFmtId="0" fontId="73" fillId="2" borderId="19" xfId="0" applyFont="1" applyFill="1" applyBorder="1" applyAlignment="1" applyProtection="1">
      <alignment horizontal="left" vertical="center"/>
    </xf>
    <xf numFmtId="0" fontId="73" fillId="2" borderId="51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>
      <alignment horizontal="right" vertical="center"/>
    </xf>
    <xf numFmtId="172" fontId="69" fillId="6" borderId="26" xfId="0" applyNumberFormat="1" applyFont="1" applyFill="1" applyBorder="1" applyAlignment="1">
      <alignment horizontal="right" vertical="center"/>
    </xf>
    <xf numFmtId="172" fontId="69" fillId="6" borderId="27" xfId="0" applyNumberFormat="1" applyFont="1" applyFill="1" applyBorder="1" applyAlignment="1">
      <alignment horizontal="right" vertical="center"/>
    </xf>
    <xf numFmtId="10" fontId="7" fillId="2" borderId="99" xfId="0" applyNumberFormat="1" applyFont="1" applyFill="1" applyBorder="1" applyAlignment="1" applyProtection="1">
      <alignment horizontal="center" vertical="center"/>
    </xf>
    <xf numFmtId="10" fontId="7" fillId="2" borderId="100" xfId="0" applyNumberFormat="1" applyFont="1" applyFill="1" applyBorder="1" applyAlignment="1" applyProtection="1">
      <alignment horizontal="center" vertical="center"/>
    </xf>
    <xf numFmtId="10" fontId="7" fillId="2" borderId="101" xfId="0" applyNumberFormat="1" applyFont="1" applyFill="1" applyBorder="1" applyAlignment="1" applyProtection="1">
      <alignment horizontal="center" vertical="center"/>
    </xf>
    <xf numFmtId="0" fontId="93" fillId="0" borderId="25" xfId="0" applyFont="1" applyBorder="1" applyAlignment="1">
      <alignment horizontal="center"/>
    </xf>
    <xf numFmtId="0" fontId="93" fillId="0" borderId="26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16" fillId="2" borderId="67" xfId="0" applyFont="1" applyFill="1" applyBorder="1" applyAlignment="1" applyProtection="1">
      <alignment horizontal="center" vertical="center"/>
    </xf>
    <xf numFmtId="0" fontId="16" fillId="2" borderId="68" xfId="0" applyFont="1" applyFill="1" applyBorder="1" applyAlignment="1" applyProtection="1">
      <alignment horizontal="center" vertical="center"/>
    </xf>
    <xf numFmtId="0" fontId="16" fillId="2" borderId="54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3" fontId="4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175" fontId="68" fillId="2" borderId="4" xfId="0" applyNumberFormat="1" applyFont="1" applyFill="1" applyBorder="1" applyAlignment="1" applyProtection="1">
      <alignment horizontal="center" vertical="center"/>
    </xf>
    <xf numFmtId="0" fontId="67" fillId="2" borderId="10" xfId="0" applyFont="1" applyFill="1" applyBorder="1" applyAlignment="1" applyProtection="1">
      <alignment horizontal="center" vertical="center"/>
    </xf>
    <xf numFmtId="0" fontId="67" fillId="2" borderId="9" xfId="0" applyFont="1" applyFill="1" applyBorder="1" applyAlignment="1" applyProtection="1">
      <alignment horizontal="center" vertical="center"/>
    </xf>
    <xf numFmtId="0" fontId="72" fillId="2" borderId="69" xfId="0" applyFont="1" applyFill="1" applyBorder="1" applyAlignment="1" applyProtection="1">
      <alignment horizontal="left" vertical="center"/>
    </xf>
    <xf numFmtId="0" fontId="72" fillId="2" borderId="70" xfId="0" applyFont="1" applyFill="1" applyBorder="1" applyAlignment="1" applyProtection="1">
      <alignment horizontal="left" vertical="center"/>
    </xf>
    <xf numFmtId="0" fontId="72" fillId="2" borderId="71" xfId="0" applyFont="1" applyFill="1" applyBorder="1" applyAlignment="1" applyProtection="1">
      <alignment horizontal="left" vertical="center"/>
    </xf>
    <xf numFmtId="172" fontId="0" fillId="6" borderId="72" xfId="0" applyNumberFormat="1" applyFill="1" applyBorder="1" applyAlignment="1">
      <alignment horizontal="right" vertical="center"/>
    </xf>
    <xf numFmtId="172" fontId="0" fillId="6" borderId="73" xfId="0" applyNumberFormat="1" applyFill="1" applyBorder="1" applyAlignment="1">
      <alignment horizontal="right" vertical="center"/>
    </xf>
    <xf numFmtId="172" fontId="0" fillId="6" borderId="74" xfId="0" applyNumberFormat="1" applyFill="1" applyBorder="1" applyAlignment="1">
      <alignment horizontal="right" vertical="center"/>
    </xf>
    <xf numFmtId="10" fontId="4" fillId="13" borderId="8" xfId="0" applyNumberFormat="1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75" xfId="0" applyFont="1" applyFill="1" applyBorder="1" applyAlignment="1" applyProtection="1">
      <alignment horizontal="center" vertical="center"/>
    </xf>
    <xf numFmtId="0" fontId="2" fillId="2" borderId="92" xfId="0" applyFont="1" applyFill="1" applyBorder="1" applyAlignment="1" applyProtection="1">
      <alignment horizontal="left" vertical="center"/>
    </xf>
    <xf numFmtId="0" fontId="2" fillId="2" borderId="93" xfId="0" applyFont="1" applyFill="1" applyBorder="1" applyAlignment="1" applyProtection="1">
      <alignment horizontal="left" vertical="center"/>
    </xf>
    <xf numFmtId="0" fontId="2" fillId="2" borderId="94" xfId="0" applyFont="1" applyFill="1" applyBorder="1" applyAlignment="1" applyProtection="1">
      <alignment horizontal="left" vertical="center"/>
    </xf>
    <xf numFmtId="172" fontId="13" fillId="10" borderId="66" xfId="0" applyNumberFormat="1" applyFont="1" applyFill="1" applyBorder="1" applyAlignment="1" applyProtection="1">
      <alignment horizontal="right" vertical="center"/>
      <protection locked="0"/>
    </xf>
    <xf numFmtId="172" fontId="13" fillId="10" borderId="45" xfId="0" applyNumberFormat="1" applyFont="1" applyFill="1" applyBorder="1" applyAlignment="1" applyProtection="1">
      <alignment horizontal="right" vertical="center"/>
      <protection locked="0"/>
    </xf>
    <xf numFmtId="172" fontId="13" fillId="10" borderId="46" xfId="0" applyNumberFormat="1" applyFont="1" applyFill="1" applyBorder="1" applyAlignment="1" applyProtection="1">
      <alignment horizontal="right" vertical="center"/>
      <protection locked="0"/>
    </xf>
    <xf numFmtId="0" fontId="11" fillId="2" borderId="116" xfId="0" applyFont="1" applyFill="1" applyBorder="1" applyAlignment="1" applyProtection="1">
      <alignment horizontal="center" vertical="center" wrapText="1"/>
    </xf>
    <xf numFmtId="0" fontId="11" fillId="2" borderId="73" xfId="0" applyFont="1" applyFill="1" applyBorder="1" applyAlignment="1" applyProtection="1">
      <alignment horizontal="center" vertical="center" wrapText="1"/>
    </xf>
    <xf numFmtId="0" fontId="11" fillId="2" borderId="117" xfId="0" applyFont="1" applyFill="1" applyBorder="1" applyAlignment="1" applyProtection="1">
      <alignment horizontal="center" vertical="center" wrapText="1"/>
    </xf>
    <xf numFmtId="0" fontId="25" fillId="2" borderId="95" xfId="0" applyFont="1" applyFill="1" applyBorder="1" applyAlignment="1" applyProtection="1">
      <alignment horizontal="center" vertical="center"/>
    </xf>
    <xf numFmtId="0" fontId="25" fillId="2" borderId="79" xfId="0" applyFont="1" applyFill="1" applyBorder="1" applyAlignment="1" applyProtection="1">
      <alignment horizontal="center" vertical="center"/>
    </xf>
    <xf numFmtId="0" fontId="25" fillId="2" borderId="96" xfId="0" applyFont="1" applyFill="1" applyBorder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 vertical="center"/>
    </xf>
    <xf numFmtId="0" fontId="85" fillId="2" borderId="42" xfId="0" applyFont="1" applyFill="1" applyBorder="1" applyAlignment="1" applyProtection="1">
      <alignment horizontal="center" vertical="center"/>
    </xf>
    <xf numFmtId="0" fontId="85" fillId="2" borderId="43" xfId="0" applyFont="1" applyFill="1" applyBorder="1" applyAlignment="1" applyProtection="1">
      <alignment horizontal="center" vertical="center"/>
    </xf>
    <xf numFmtId="0" fontId="63" fillId="2" borderId="43" xfId="0" applyFont="1" applyFill="1" applyBorder="1" applyAlignment="1" applyProtection="1">
      <alignment horizontal="center" vertical="center"/>
    </xf>
    <xf numFmtId="0" fontId="63" fillId="2" borderId="6" xfId="0" applyFont="1" applyFill="1" applyBorder="1" applyAlignment="1" applyProtection="1">
      <alignment horizontal="center" vertical="center"/>
    </xf>
    <xf numFmtId="0" fontId="7" fillId="2" borderId="97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>
      <alignment horizontal="left" vertical="center"/>
    </xf>
    <xf numFmtId="0" fontId="26" fillId="2" borderId="8" xfId="0" applyFont="1" applyFill="1" applyBorder="1" applyAlignment="1" applyProtection="1">
      <alignment horizontal="left"/>
    </xf>
    <xf numFmtId="0" fontId="26" fillId="2" borderId="8" xfId="0" applyFont="1" applyFill="1" applyBorder="1" applyAlignment="1" applyProtection="1">
      <alignment horizontal="center"/>
    </xf>
    <xf numFmtId="3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41" fillId="4" borderId="8" xfId="0" applyFont="1" applyFill="1" applyBorder="1" applyAlignment="1" applyProtection="1">
      <alignment horizontal="left"/>
    </xf>
    <xf numFmtId="0" fontId="26" fillId="4" borderId="8" xfId="0" applyFont="1" applyFill="1" applyBorder="1" applyAlignment="1" applyProtection="1">
      <alignment horizontal="center"/>
    </xf>
    <xf numFmtId="0" fontId="26" fillId="2" borderId="8" xfId="0" applyFont="1" applyFill="1" applyBorder="1" applyAlignment="1" applyProtection="1">
      <alignment horizontal="right"/>
    </xf>
    <xf numFmtId="176" fontId="26" fillId="2" borderId="8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horizontal="center" vertical="center"/>
    </xf>
    <xf numFmtId="177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32" fillId="2" borderId="8" xfId="0" applyFont="1" applyFill="1" applyBorder="1" applyAlignment="1" applyProtection="1">
      <alignment horizontal="center" vertical="center"/>
    </xf>
    <xf numFmtId="0" fontId="41" fillId="7" borderId="8" xfId="0" applyFont="1" applyFill="1" applyBorder="1" applyAlignment="1" applyProtection="1">
      <alignment horizontal="left"/>
    </xf>
    <xf numFmtId="3" fontId="2" fillId="0" borderId="4" xfId="0" applyNumberFormat="1" applyFont="1" applyBorder="1" applyAlignment="1" applyProtection="1">
      <alignment horizontal="right" vertical="center"/>
      <protection locked="0"/>
    </xf>
    <xf numFmtId="49" fontId="72" fillId="2" borderId="4" xfId="3" applyNumberFormat="1" applyFont="1" applyFill="1" applyBorder="1" applyAlignment="1" applyProtection="1">
      <alignment horizontal="left" vertical="center"/>
    </xf>
    <xf numFmtId="168" fontId="26" fillId="3" borderId="8" xfId="0" applyNumberFormat="1" applyFont="1" applyFill="1" applyBorder="1" applyAlignment="1" applyProtection="1">
      <alignment horizontal="center" vertical="center"/>
      <protection locked="0"/>
    </xf>
    <xf numFmtId="0" fontId="29" fillId="7" borderId="8" xfId="0" applyFont="1" applyFill="1" applyBorder="1" applyAlignment="1" applyProtection="1">
      <alignment horizontal="left"/>
    </xf>
    <xf numFmtId="0" fontId="26" fillId="7" borderId="8" xfId="0" applyFont="1" applyFill="1" applyBorder="1" applyAlignment="1" applyProtection="1">
      <alignment horizontal="center"/>
    </xf>
    <xf numFmtId="3" fontId="26" fillId="7" borderId="8" xfId="0" applyNumberFormat="1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right"/>
    </xf>
    <xf numFmtId="3" fontId="2" fillId="0" borderId="5" xfId="0" applyNumberFormat="1" applyFont="1" applyBorder="1" applyAlignment="1" applyProtection="1">
      <alignment horizontal="right" vertical="center"/>
      <protection locked="0"/>
    </xf>
    <xf numFmtId="3" fontId="2" fillId="0" borderId="30" xfId="0" applyNumberFormat="1" applyFont="1" applyBorder="1" applyAlignment="1" applyProtection="1">
      <alignment horizontal="right" vertical="center"/>
      <protection locked="0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0" fontId="72" fillId="2" borderId="4" xfId="3" applyFont="1" applyFill="1" applyBorder="1" applyAlignment="1" applyProtection="1">
      <alignment horizontal="center" vertical="center"/>
    </xf>
    <xf numFmtId="3" fontId="2" fillId="3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30" xfId="0" applyNumberFormat="1" applyFont="1" applyFill="1" applyBorder="1" applyAlignment="1" applyProtection="1">
      <alignment horizontal="right" vertical="center"/>
      <protection locked="0"/>
    </xf>
    <xf numFmtId="3" fontId="2" fillId="3" borderId="13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>
      <alignment horizontal="right"/>
    </xf>
    <xf numFmtId="0" fontId="10" fillId="2" borderId="4" xfId="0" applyFont="1" applyFill="1" applyBorder="1" applyAlignment="1" applyProtection="1">
      <alignment horizontal="left" vertical="center"/>
    </xf>
    <xf numFmtId="0" fontId="32" fillId="2" borderId="7" xfId="0" applyNumberFormat="1" applyFont="1" applyFill="1" applyBorder="1" applyAlignment="1" applyProtection="1">
      <alignment horizontal="center" vertical="center"/>
    </xf>
    <xf numFmtId="0" fontId="32" fillId="2" borderId="10" xfId="0" applyNumberFormat="1" applyFont="1" applyFill="1" applyBorder="1" applyAlignment="1" applyProtection="1">
      <alignment horizontal="center" vertical="center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0" fontId="15" fillId="2" borderId="4" xfId="0" applyFont="1" applyFill="1" applyBorder="1" applyAlignment="1" applyProtection="1">
      <alignment horizontal="left"/>
    </xf>
    <xf numFmtId="0" fontId="103" fillId="2" borderId="25" xfId="0" applyFont="1" applyFill="1" applyBorder="1" applyAlignment="1" applyProtection="1">
      <alignment horizontal="left" vertical="center" wrapText="1"/>
    </xf>
    <xf numFmtId="0" fontId="103" fillId="2" borderId="26" xfId="0" applyFont="1" applyFill="1" applyBorder="1" applyAlignment="1" applyProtection="1">
      <alignment horizontal="left" vertical="center" wrapText="1"/>
    </xf>
    <xf numFmtId="0" fontId="103" fillId="2" borderId="27" xfId="0" applyFont="1" applyFill="1" applyBorder="1" applyAlignment="1" applyProtection="1">
      <alignment horizontal="left" vertical="center" wrapText="1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46" xfId="0" applyFont="1" applyFill="1" applyBorder="1" applyAlignment="1" applyProtection="1">
      <alignment horizontal="left" vertical="center"/>
    </xf>
    <xf numFmtId="0" fontId="7" fillId="2" borderId="50" xfId="0" applyFont="1" applyFill="1" applyBorder="1" applyAlignment="1" applyProtection="1">
      <alignment horizontal="left" vertical="center"/>
    </xf>
    <xf numFmtId="0" fontId="7" fillId="2" borderId="47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 applyProtection="1">
      <alignment horizontal="left" vertical="center"/>
    </xf>
    <xf numFmtId="0" fontId="40" fillId="13" borderId="25" xfId="0" applyFont="1" applyFill="1" applyBorder="1" applyAlignment="1" applyProtection="1">
      <alignment horizontal="left" vertical="center"/>
    </xf>
    <xf numFmtId="0" fontId="40" fillId="13" borderId="27" xfId="0" applyFont="1" applyFill="1" applyBorder="1" applyAlignment="1" applyProtection="1">
      <alignment horizontal="left" vertical="center"/>
    </xf>
    <xf numFmtId="0" fontId="40" fillId="7" borderId="25" xfId="0" applyFont="1" applyFill="1" applyBorder="1" applyAlignment="1" applyProtection="1">
      <alignment horizontal="left" vertical="center"/>
    </xf>
    <xf numFmtId="0" fontId="40" fillId="7" borderId="27" xfId="0" applyFont="1" applyFill="1" applyBorder="1" applyAlignment="1" applyProtection="1">
      <alignment horizontal="left" vertical="center"/>
    </xf>
    <xf numFmtId="0" fontId="58" fillId="0" borderId="25" xfId="0" applyFont="1" applyBorder="1" applyAlignment="1" applyProtection="1">
      <alignment horizontal="left" vertical="center"/>
    </xf>
    <xf numFmtId="0" fontId="58" fillId="0" borderId="26" xfId="0" applyFont="1" applyBorder="1" applyAlignment="1" applyProtection="1">
      <alignment horizontal="left" vertical="center"/>
    </xf>
    <xf numFmtId="0" fontId="58" fillId="0" borderId="45" xfId="0" applyFont="1" applyBorder="1" applyAlignment="1" applyProtection="1">
      <alignment horizontal="left" vertical="center"/>
    </xf>
    <xf numFmtId="0" fontId="58" fillId="0" borderId="77" xfId="0" applyFont="1" applyBorder="1" applyAlignment="1" applyProtection="1">
      <alignment horizontal="left" vertical="center"/>
    </xf>
    <xf numFmtId="3" fontId="2" fillId="2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center"/>
    </xf>
    <xf numFmtId="166" fontId="2" fillId="0" borderId="16" xfId="0" applyNumberFormat="1" applyFont="1" applyBorder="1" applyAlignment="1" applyProtection="1">
      <alignment horizontal="right"/>
      <protection locked="0"/>
    </xf>
    <xf numFmtId="164" fontId="2" fillId="0" borderId="89" xfId="0" applyNumberFormat="1" applyFont="1" applyFill="1" applyBorder="1" applyAlignment="1" applyProtection="1">
      <alignment horizontal="right" vertical="center"/>
      <protection locked="0"/>
    </xf>
    <xf numFmtId="164" fontId="2" fillId="0" borderId="90" xfId="0" applyNumberFormat="1" applyFont="1" applyFill="1" applyBorder="1" applyAlignment="1" applyProtection="1">
      <alignment horizontal="right" vertical="center"/>
      <protection locked="0"/>
    </xf>
    <xf numFmtId="164" fontId="2" fillId="0" borderId="91" xfId="0" applyNumberFormat="1" applyFont="1" applyFill="1" applyBorder="1" applyAlignment="1" applyProtection="1">
      <alignment horizontal="right" vertical="center"/>
      <protection locked="0"/>
    </xf>
    <xf numFmtId="167" fontId="2" fillId="2" borderId="4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168" fontId="2" fillId="3" borderId="4" xfId="0" applyNumberFormat="1" applyFont="1" applyFill="1" applyBorder="1" applyAlignment="1" applyProtection="1">
      <alignment horizontal="right" vertical="center"/>
      <protection locked="0"/>
    </xf>
    <xf numFmtId="0" fontId="72" fillId="2" borderId="4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>
      <alignment horizontal="right" vertical="center"/>
    </xf>
    <xf numFmtId="3" fontId="2" fillId="2" borderId="30" xfId="0" applyNumberFormat="1" applyFont="1" applyFill="1" applyBorder="1" applyAlignment="1">
      <alignment horizontal="right" vertical="center"/>
    </xf>
    <xf numFmtId="3" fontId="2" fillId="2" borderId="13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center" vertical="center"/>
    </xf>
    <xf numFmtId="1" fontId="2" fillId="3" borderId="4" xfId="0" applyNumberFormat="1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/>
    </xf>
    <xf numFmtId="0" fontId="77" fillId="2" borderId="4" xfId="0" applyFont="1" applyFill="1" applyBorder="1" applyAlignment="1" applyProtection="1">
      <alignment horizontal="left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4" xfId="0" applyFont="1" applyFill="1" applyBorder="1" applyAlignment="1">
      <alignment horizontal="left"/>
    </xf>
    <xf numFmtId="169" fontId="9" fillId="2" borderId="5" xfId="0" applyNumberFormat="1" applyFont="1" applyFill="1" applyBorder="1" applyAlignment="1">
      <alignment horizontal="right" vertical="center"/>
    </xf>
    <xf numFmtId="169" fontId="9" fillId="2" borderId="30" xfId="0" applyNumberFormat="1" applyFont="1" applyFill="1" applyBorder="1" applyAlignment="1">
      <alignment horizontal="right" vertical="center"/>
    </xf>
    <xf numFmtId="169" fontId="9" fillId="2" borderId="1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3" fontId="2" fillId="6" borderId="4" xfId="0" applyNumberFormat="1" applyFont="1" applyFill="1" applyBorder="1" applyAlignment="1" applyProtection="1">
      <alignment horizontal="right" vertical="center"/>
    </xf>
    <xf numFmtId="165" fontId="101" fillId="2" borderId="5" xfId="0" applyNumberFormat="1" applyFont="1" applyFill="1" applyBorder="1" applyAlignment="1">
      <alignment horizontal="center" vertical="center"/>
    </xf>
    <xf numFmtId="165" fontId="101" fillId="2" borderId="13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 applyProtection="1">
      <alignment horizontal="right" vertical="center"/>
      <protection locked="0"/>
    </xf>
    <xf numFmtId="1" fontId="2" fillId="0" borderId="30" xfId="0" applyNumberFormat="1" applyFont="1" applyBorder="1" applyAlignment="1" applyProtection="1">
      <alignment horizontal="right" vertical="center"/>
      <protection locked="0"/>
    </xf>
    <xf numFmtId="1" fontId="2" fillId="0" borderId="13" xfId="0" applyNumberFormat="1" applyFont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165" fontId="101" fillId="2" borderId="51" xfId="0" applyNumberFormat="1" applyFont="1" applyFill="1" applyBorder="1" applyAlignment="1">
      <alignment horizontal="center" vertical="center"/>
    </xf>
    <xf numFmtId="165" fontId="101" fillId="2" borderId="34" xfId="0" applyNumberFormat="1" applyFont="1" applyFill="1" applyBorder="1" applyAlignment="1">
      <alignment horizontal="center" vertical="center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165" fontId="101" fillId="2" borderId="57" xfId="0" applyNumberFormat="1" applyFont="1" applyFill="1" applyBorder="1" applyAlignment="1">
      <alignment horizontal="center" vertical="center"/>
    </xf>
    <xf numFmtId="3" fontId="2" fillId="0" borderId="58" xfId="0" applyNumberFormat="1" applyFont="1" applyBorder="1" applyAlignment="1" applyProtection="1">
      <alignment horizontal="right" vertical="center"/>
      <protection locked="0"/>
    </xf>
    <xf numFmtId="3" fontId="2" fillId="0" borderId="47" xfId="0" applyNumberFormat="1" applyFont="1" applyBorder="1" applyAlignment="1" applyProtection="1">
      <alignment horizontal="right" vertical="center"/>
      <protection locked="0"/>
    </xf>
    <xf numFmtId="3" fontId="2" fillId="0" borderId="26" xfId="0" applyNumberFormat="1" applyFont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 applyProtection="1">
      <alignment horizontal="center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63" xfId="0" applyNumberFormat="1" applyFont="1" applyFill="1" applyBorder="1" applyAlignment="1" applyProtection="1">
      <alignment horizontal="right" vertical="center"/>
      <protection locked="0"/>
    </xf>
    <xf numFmtId="3" fontId="2" fillId="3" borderId="64" xfId="0" applyNumberFormat="1" applyFont="1" applyFill="1" applyBorder="1" applyAlignment="1" applyProtection="1">
      <alignment horizontal="right" vertical="center"/>
      <protection locked="0"/>
    </xf>
    <xf numFmtId="165" fontId="17" fillId="2" borderId="65" xfId="0" applyNumberFormat="1" applyFont="1" applyFill="1" applyBorder="1" applyAlignment="1">
      <alignment horizontal="right"/>
    </xf>
    <xf numFmtId="0" fontId="7" fillId="2" borderId="59" xfId="0" applyFont="1" applyFill="1" applyBorder="1" applyAlignment="1">
      <alignment horizontal="left"/>
    </xf>
    <xf numFmtId="0" fontId="7" fillId="2" borderId="60" xfId="0" applyFont="1" applyFill="1" applyBorder="1" applyAlignment="1">
      <alignment horizontal="left"/>
    </xf>
    <xf numFmtId="0" fontId="9" fillId="2" borderId="8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4" xfId="0" applyFont="1" applyFill="1" applyBorder="1" applyAlignment="1">
      <alignment horizontal="center" vertical="center" wrapText="1"/>
    </xf>
    <xf numFmtId="0" fontId="9" fillId="2" borderId="88" xfId="0" applyFont="1" applyFill="1" applyBorder="1" applyAlignment="1">
      <alignment horizontal="center" vertical="center" wrapText="1"/>
    </xf>
    <xf numFmtId="49" fontId="70" fillId="2" borderId="85" xfId="0" applyNumberFormat="1" applyFont="1" applyFill="1" applyBorder="1" applyAlignment="1">
      <alignment horizontal="center" vertical="center"/>
    </xf>
    <xf numFmtId="49" fontId="70" fillId="2" borderId="26" xfId="0" applyNumberFormat="1" applyFont="1" applyFill="1" applyBorder="1" applyAlignment="1">
      <alignment horizontal="center" vertical="center"/>
    </xf>
    <xf numFmtId="49" fontId="70" fillId="2" borderId="27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center" vertical="center"/>
    </xf>
    <xf numFmtId="10" fontId="19" fillId="2" borderId="8" xfId="0" applyNumberFormat="1" applyFont="1" applyFill="1" applyBorder="1" applyAlignment="1" applyProtection="1">
      <alignment horizontal="right" vertical="center"/>
    </xf>
    <xf numFmtId="171" fontId="16" fillId="2" borderId="4" xfId="0" applyNumberFormat="1" applyFont="1" applyFill="1" applyBorder="1" applyAlignment="1" applyProtection="1">
      <alignment horizontal="center" vertical="center"/>
    </xf>
    <xf numFmtId="3" fontId="2" fillId="3" borderId="61" xfId="0" applyNumberFormat="1" applyFont="1" applyFill="1" applyBorder="1" applyAlignment="1" applyProtection="1">
      <alignment horizontal="right" vertical="center"/>
      <protection locked="0"/>
    </xf>
    <xf numFmtId="165" fontId="17" fillId="2" borderId="62" xfId="0" applyNumberFormat="1" applyFont="1" applyFill="1" applyBorder="1" applyAlignment="1">
      <alignment horizontal="right"/>
    </xf>
    <xf numFmtId="0" fontId="7" fillId="2" borderId="53" xfId="0" applyFont="1" applyFill="1" applyBorder="1" applyAlignment="1" applyProtection="1">
      <alignment horizontal="left"/>
    </xf>
    <xf numFmtId="0" fontId="18" fillId="6" borderId="4" xfId="0" applyFont="1" applyFill="1" applyBorder="1" applyAlignment="1">
      <alignment horizontal="right"/>
    </xf>
    <xf numFmtId="3" fontId="2" fillId="14" borderId="5" xfId="0" applyNumberFormat="1" applyFont="1" applyFill="1" applyBorder="1" applyAlignment="1" applyProtection="1">
      <alignment horizontal="right" vertical="center"/>
      <protection locked="0"/>
    </xf>
    <xf numFmtId="3" fontId="2" fillId="3" borderId="20" xfId="0" applyNumberFormat="1" applyFont="1" applyFill="1" applyBorder="1" applyAlignment="1" applyProtection="1">
      <alignment horizontal="right" vertical="center"/>
      <protection locked="0"/>
    </xf>
    <xf numFmtId="165" fontId="17" fillId="2" borderId="21" xfId="0" applyNumberFormat="1" applyFon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9" fontId="9" fillId="14" borderId="56" xfId="0" applyNumberFormat="1" applyFont="1" applyFill="1" applyBorder="1" applyAlignment="1" applyProtection="1">
      <alignment horizontal="center" vertical="center"/>
      <protection locked="0"/>
    </xf>
    <xf numFmtId="179" fontId="9" fillId="14" borderId="86" xfId="0" applyNumberFormat="1" applyFont="1" applyFill="1" applyBorder="1" applyAlignment="1" applyProtection="1">
      <alignment horizontal="center" vertical="center"/>
      <protection locked="0"/>
    </xf>
    <xf numFmtId="172" fontId="22" fillId="2" borderId="4" xfId="0" applyNumberFormat="1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right" vertical="center"/>
    </xf>
    <xf numFmtId="10" fontId="2" fillId="2" borderId="4" xfId="0" applyNumberFormat="1" applyFont="1" applyFill="1" applyBorder="1" applyAlignment="1" applyProtection="1">
      <alignment horizontal="right" vertical="center"/>
    </xf>
    <xf numFmtId="0" fontId="78" fillId="2" borderId="80" xfId="0" applyFont="1" applyFill="1" applyBorder="1" applyAlignment="1">
      <alignment horizontal="center" vertical="center" wrapText="1"/>
    </xf>
    <xf numFmtId="0" fontId="78" fillId="2" borderId="81" xfId="0" applyFont="1" applyFill="1" applyBorder="1" applyAlignment="1">
      <alignment horizontal="center" vertical="center" wrapText="1"/>
    </xf>
    <xf numFmtId="0" fontId="78" fillId="2" borderId="82" xfId="0" applyFont="1" applyFill="1" applyBorder="1" applyAlignment="1">
      <alignment horizontal="center" vertical="center" wrapText="1"/>
    </xf>
    <xf numFmtId="3" fontId="2" fillId="0" borderId="32" xfId="0" applyNumberFormat="1" applyFont="1" applyBorder="1" applyAlignment="1" applyProtection="1">
      <alignment horizontal="right" vertical="center"/>
      <protection locked="0"/>
    </xf>
    <xf numFmtId="3" fontId="2" fillId="0" borderId="33" xfId="0" applyNumberFormat="1" applyFont="1" applyBorder="1" applyAlignment="1" applyProtection="1">
      <alignment horizontal="right" vertical="center"/>
      <protection locked="0"/>
    </xf>
    <xf numFmtId="3" fontId="2" fillId="2" borderId="83" xfId="0" applyNumberFormat="1" applyFont="1" applyFill="1" applyBorder="1" applyAlignment="1">
      <alignment horizontal="right" vertical="center"/>
    </xf>
    <xf numFmtId="3" fontId="2" fillId="2" borderId="84" xfId="0" applyNumberFormat="1" applyFont="1" applyFill="1" applyBorder="1" applyAlignment="1">
      <alignment horizontal="right" vertical="center"/>
    </xf>
    <xf numFmtId="172" fontId="20" fillId="2" borderId="4" xfId="0" applyNumberFormat="1" applyFont="1" applyFill="1" applyBorder="1" applyAlignment="1" applyProtection="1">
      <alignment horizontal="right" vertical="center"/>
    </xf>
    <xf numFmtId="172" fontId="11" fillId="2" borderId="4" xfId="0" applyNumberFormat="1" applyFont="1" applyFill="1" applyBorder="1" applyAlignment="1" applyProtection="1">
      <alignment horizontal="right" vertical="center"/>
    </xf>
    <xf numFmtId="0" fontId="68" fillId="2" borderId="4" xfId="0" applyFont="1" applyFill="1" applyBorder="1" applyAlignment="1" applyProtection="1">
      <alignment horizontal="center" vertical="center"/>
    </xf>
    <xf numFmtId="0" fontId="34" fillId="2" borderId="4" xfId="0" applyFont="1" applyFill="1" applyBorder="1" applyAlignment="1" applyProtection="1">
      <alignment horizontal="right" vertical="center"/>
    </xf>
    <xf numFmtId="0" fontId="32" fillId="2" borderId="4" xfId="0" applyFont="1" applyFill="1" applyBorder="1" applyAlignment="1" applyProtection="1">
      <alignment horizontal="right" vertical="center"/>
    </xf>
    <xf numFmtId="10" fontId="11" fillId="2" borderId="4" xfId="0" applyNumberFormat="1" applyFont="1" applyFill="1" applyBorder="1" applyAlignment="1" applyProtection="1">
      <alignment horizontal="right" vertical="center"/>
    </xf>
    <xf numFmtId="172" fontId="13" fillId="0" borderId="15" xfId="0" applyNumberFormat="1" applyFont="1" applyFill="1" applyBorder="1" applyAlignment="1" applyProtection="1">
      <alignment horizontal="right" vertical="center"/>
      <protection locked="0"/>
    </xf>
    <xf numFmtId="0" fontId="7" fillId="2" borderId="25" xfId="2" applyFont="1" applyFill="1" applyBorder="1" applyAlignment="1" applyProtection="1">
      <alignment horizontal="center" vertical="center"/>
    </xf>
    <xf numFmtId="0" fontId="7" fillId="2" borderId="26" xfId="2" applyFont="1" applyFill="1" applyBorder="1" applyAlignment="1" applyProtection="1">
      <alignment horizontal="center" vertical="center"/>
    </xf>
    <xf numFmtId="0" fontId="7" fillId="2" borderId="27" xfId="2" applyFont="1" applyFill="1" applyBorder="1" applyAlignment="1" applyProtection="1">
      <alignment horizontal="center" vertical="center"/>
    </xf>
    <xf numFmtId="0" fontId="90" fillId="0" borderId="25" xfId="0" applyFont="1" applyBorder="1" applyAlignment="1" applyProtection="1">
      <alignment horizontal="center" vertical="center"/>
      <protection locked="0"/>
    </xf>
    <xf numFmtId="0" fontId="89" fillId="0" borderId="26" xfId="0" applyFont="1" applyBorder="1" applyAlignment="1" applyProtection="1">
      <alignment horizontal="center" vertical="center"/>
      <protection locked="0"/>
    </xf>
    <xf numFmtId="0" fontId="89" fillId="0" borderId="27" xfId="0" applyFont="1" applyBorder="1" applyAlignment="1" applyProtection="1">
      <alignment horizontal="center" vertical="center"/>
      <protection locked="0"/>
    </xf>
    <xf numFmtId="0" fontId="73" fillId="2" borderId="67" xfId="0" applyFont="1" applyFill="1" applyBorder="1" applyAlignment="1" applyProtection="1">
      <alignment horizontal="left" vertical="center"/>
    </xf>
    <xf numFmtId="0" fontId="73" fillId="2" borderId="68" xfId="0" applyFont="1" applyFill="1" applyBorder="1" applyAlignment="1" applyProtection="1">
      <alignment horizontal="left" vertical="center"/>
    </xf>
    <xf numFmtId="0" fontId="73" fillId="2" borderId="54" xfId="0" applyFont="1" applyFill="1" applyBorder="1" applyAlignment="1" applyProtection="1">
      <alignment horizontal="left" vertical="center"/>
    </xf>
    <xf numFmtId="172" fontId="69" fillId="6" borderId="25" xfId="0" applyNumberFormat="1" applyFont="1" applyFill="1" applyBorder="1" applyAlignment="1" applyProtection="1">
      <alignment horizontal="right"/>
    </xf>
    <xf numFmtId="172" fontId="69" fillId="6" borderId="26" xfId="0" applyNumberFormat="1" applyFont="1" applyFill="1" applyBorder="1" applyAlignment="1" applyProtection="1">
      <alignment horizontal="right"/>
    </xf>
    <xf numFmtId="172" fontId="69" fillId="6" borderId="27" xfId="0" applyNumberFormat="1" applyFont="1" applyFill="1" applyBorder="1" applyAlignment="1" applyProtection="1">
      <alignment horizontal="right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166" fontId="26" fillId="15" borderId="67" xfId="0" applyNumberFormat="1" applyFont="1" applyFill="1" applyBorder="1" applyAlignment="1" applyProtection="1">
      <alignment horizontal="center" vertical="center"/>
    </xf>
    <xf numFmtId="166" fontId="26" fillId="15" borderId="68" xfId="0" applyNumberFormat="1" applyFont="1" applyFill="1" applyBorder="1" applyAlignment="1" applyProtection="1">
      <alignment horizontal="center" vertical="center"/>
    </xf>
    <xf numFmtId="166" fontId="26" fillId="15" borderId="54" xfId="0" applyNumberFormat="1" applyFont="1" applyFill="1" applyBorder="1" applyAlignment="1" applyProtection="1">
      <alignment horizontal="center" vertical="center"/>
    </xf>
    <xf numFmtId="166" fontId="2" fillId="15" borderId="41" xfId="0" applyNumberFormat="1" applyFont="1" applyFill="1" applyBorder="1" applyAlignment="1" applyProtection="1">
      <alignment horizontal="center" vertical="center"/>
    </xf>
    <xf numFmtId="166" fontId="2" fillId="15" borderId="39" xfId="0" applyNumberFormat="1" applyFont="1" applyFill="1" applyBorder="1" applyAlignment="1" applyProtection="1">
      <alignment horizontal="center" vertical="center"/>
    </xf>
    <xf numFmtId="166" fontId="13" fillId="15" borderId="39" xfId="0" applyNumberFormat="1" applyFont="1" applyFill="1" applyBorder="1" applyAlignment="1" applyProtection="1">
      <alignment horizontal="center" vertical="center"/>
    </xf>
    <xf numFmtId="172" fontId="9" fillId="10" borderId="32" xfId="0" applyNumberFormat="1" applyFont="1" applyFill="1" applyBorder="1" applyAlignment="1" applyProtection="1">
      <alignment horizontal="center" vertical="center"/>
      <protection locked="0"/>
    </xf>
    <xf numFmtId="172" fontId="9" fillId="10" borderId="33" xfId="0" applyNumberFormat="1" applyFont="1" applyFill="1" applyBorder="1" applyAlignment="1" applyProtection="1">
      <alignment horizontal="center" vertical="center"/>
      <protection locked="0"/>
    </xf>
    <xf numFmtId="172" fontId="9" fillId="10" borderId="36" xfId="0" applyNumberFormat="1" applyFont="1" applyFill="1" applyBorder="1" applyAlignment="1" applyProtection="1">
      <alignment horizontal="center" vertical="center"/>
      <protection locked="0"/>
    </xf>
    <xf numFmtId="0" fontId="94" fillId="2" borderId="102" xfId="0" applyFont="1" applyFill="1" applyBorder="1" applyAlignment="1" applyProtection="1">
      <alignment horizontal="center" vertical="center"/>
    </xf>
    <xf numFmtId="0" fontId="94" fillId="2" borderId="103" xfId="0" applyFont="1" applyFill="1" applyBorder="1" applyAlignment="1" applyProtection="1">
      <alignment horizontal="center" vertical="center"/>
    </xf>
    <xf numFmtId="0" fontId="94" fillId="2" borderId="104" xfId="0" applyFont="1" applyFill="1" applyBorder="1" applyAlignment="1" applyProtection="1">
      <alignment horizontal="center" vertical="center"/>
    </xf>
    <xf numFmtId="172" fontId="2" fillId="2" borderId="102" xfId="0" applyNumberFormat="1" applyFont="1" applyFill="1" applyBorder="1" applyAlignment="1" applyProtection="1">
      <alignment horizontal="right" vertical="center"/>
    </xf>
    <xf numFmtId="172" fontId="2" fillId="2" borderId="103" xfId="0" applyNumberFormat="1" applyFont="1" applyFill="1" applyBorder="1" applyAlignment="1" applyProtection="1">
      <alignment horizontal="right" vertical="center"/>
    </xf>
    <xf numFmtId="172" fontId="2" fillId="2" borderId="104" xfId="0" applyNumberFormat="1" applyFont="1" applyFill="1" applyBorder="1" applyAlignment="1" applyProtection="1">
      <alignment horizontal="right" vertical="center"/>
    </xf>
    <xf numFmtId="166" fontId="2" fillId="15" borderId="75" xfId="0" applyNumberFormat="1" applyFont="1" applyFill="1" applyBorder="1" applyAlignment="1" applyProtection="1">
      <alignment horizontal="center" vertical="center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26" xfId="0" applyNumberFormat="1" applyFont="1" applyBorder="1" applyAlignment="1" applyProtection="1">
      <alignment horizontal="center" vertical="center"/>
      <protection locked="0"/>
    </xf>
    <xf numFmtId="166" fontId="2" fillId="0" borderId="27" xfId="0" applyNumberFormat="1" applyFont="1" applyBorder="1" applyAlignment="1" applyProtection="1">
      <alignment horizontal="center" vertical="center"/>
      <protection locked="0"/>
    </xf>
    <xf numFmtId="166" fontId="2" fillId="16" borderId="25" xfId="0" applyNumberFormat="1" applyFont="1" applyFill="1" applyBorder="1" applyAlignment="1" applyProtection="1">
      <alignment horizontal="center" vertical="center"/>
      <protection locked="0"/>
    </xf>
    <xf numFmtId="166" fontId="2" fillId="16" borderId="26" xfId="0" applyNumberFormat="1" applyFont="1" applyFill="1" applyBorder="1" applyAlignment="1" applyProtection="1">
      <alignment horizontal="center" vertical="center"/>
      <protection locked="0"/>
    </xf>
    <xf numFmtId="166" fontId="2" fillId="16" borderId="27" xfId="0" applyNumberFormat="1" applyFont="1" applyFill="1" applyBorder="1" applyAlignment="1" applyProtection="1">
      <alignment horizontal="center" vertical="center"/>
      <protection locked="0"/>
    </xf>
    <xf numFmtId="10" fontId="26" fillId="8" borderId="8" xfId="0" applyNumberFormat="1" applyFont="1" applyFill="1" applyBorder="1" applyAlignment="1" applyProtection="1">
      <alignment horizontal="center" vertical="center"/>
    </xf>
    <xf numFmtId="10" fontId="19" fillId="2" borderId="8" xfId="0" applyNumberFormat="1" applyFont="1" applyFill="1" applyBorder="1" applyAlignment="1" applyProtection="1">
      <alignment horizontal="center" vertical="center"/>
    </xf>
    <xf numFmtId="10" fontId="19" fillId="2" borderId="7" xfId="0" applyNumberFormat="1" applyFont="1" applyFill="1" applyBorder="1" applyAlignment="1" applyProtection="1">
      <alignment horizontal="center" vertical="center"/>
    </xf>
    <xf numFmtId="10" fontId="19" fillId="2" borderId="10" xfId="0" applyNumberFormat="1" applyFont="1" applyFill="1" applyBorder="1" applyAlignment="1" applyProtection="1">
      <alignment horizontal="center" vertical="center"/>
    </xf>
    <xf numFmtId="10" fontId="19" fillId="2" borderId="9" xfId="0" applyNumberFormat="1" applyFont="1" applyFill="1" applyBorder="1" applyAlignment="1" applyProtection="1">
      <alignment horizontal="center" vertical="center"/>
    </xf>
    <xf numFmtId="10" fontId="32" fillId="8" borderId="7" xfId="0" applyNumberFormat="1" applyFont="1" applyFill="1" applyBorder="1" applyAlignment="1" applyProtection="1">
      <alignment horizontal="center" vertical="center"/>
    </xf>
    <xf numFmtId="10" fontId="32" fillId="8" borderId="10" xfId="0" applyNumberFormat="1" applyFont="1" applyFill="1" applyBorder="1" applyAlignment="1" applyProtection="1">
      <alignment horizontal="center" vertical="center"/>
    </xf>
    <xf numFmtId="10" fontId="32" fillId="8" borderId="9" xfId="0" applyNumberFormat="1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right" vertical="center"/>
    </xf>
    <xf numFmtId="0" fontId="10" fillId="2" borderId="30" xfId="0" applyFont="1" applyFill="1" applyBorder="1" applyAlignment="1" applyProtection="1">
      <alignment horizontal="right" vertical="center"/>
    </xf>
    <xf numFmtId="0" fontId="10" fillId="2" borderId="13" xfId="0" applyFont="1" applyFill="1" applyBorder="1" applyAlignment="1" applyProtection="1">
      <alignment horizontal="right" vertical="center"/>
    </xf>
    <xf numFmtId="166" fontId="4" fillId="2" borderId="8" xfId="0" applyNumberFormat="1" applyFont="1" applyFill="1" applyBorder="1" applyAlignment="1" applyProtection="1">
      <alignment horizontal="right" vertical="center"/>
    </xf>
    <xf numFmtId="166" fontId="26" fillId="8" borderId="8" xfId="0" applyNumberFormat="1" applyFont="1" applyFill="1" applyBorder="1" applyAlignment="1" applyProtection="1">
      <alignment horizontal="right" vertical="center"/>
    </xf>
    <xf numFmtId="176" fontId="26" fillId="8" borderId="8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 applyProtection="1">
      <alignment horizontal="center" vertical="center"/>
    </xf>
    <xf numFmtId="3" fontId="2" fillId="7" borderId="32" xfId="0" applyNumberFormat="1" applyFont="1" applyFill="1" applyBorder="1" applyAlignment="1" applyProtection="1">
      <alignment horizontal="center" vertical="center"/>
    </xf>
    <xf numFmtId="3" fontId="2" fillId="7" borderId="33" xfId="0" applyNumberFormat="1" applyFont="1" applyFill="1" applyBorder="1" applyAlignment="1" applyProtection="1">
      <alignment horizontal="center" vertical="center"/>
    </xf>
    <xf numFmtId="3" fontId="2" fillId="7" borderId="36" xfId="0" applyNumberFormat="1" applyFont="1" applyFill="1" applyBorder="1" applyAlignment="1" applyProtection="1">
      <alignment horizontal="center" vertical="center"/>
    </xf>
    <xf numFmtId="10" fontId="2" fillId="7" borderId="32" xfId="0" applyNumberFormat="1" applyFont="1" applyFill="1" applyBorder="1" applyAlignment="1" applyProtection="1">
      <alignment horizontal="center" vertical="center"/>
    </xf>
    <xf numFmtId="10" fontId="2" fillId="7" borderId="33" xfId="0" applyNumberFormat="1" applyFont="1" applyFill="1" applyBorder="1" applyAlignment="1" applyProtection="1">
      <alignment horizontal="center" vertical="center"/>
    </xf>
    <xf numFmtId="10" fontId="2" fillId="7" borderId="36" xfId="0" applyNumberFormat="1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26" fillId="2" borderId="8" xfId="0" applyFont="1" applyFill="1" applyBorder="1" applyAlignment="1" applyProtection="1">
      <alignment horizontal="center" vertical="center"/>
    </xf>
    <xf numFmtId="0" fontId="26" fillId="7" borderId="8" xfId="0" applyFont="1" applyFill="1" applyBorder="1" applyAlignment="1" applyProtection="1">
      <alignment horizontal="center" vertical="center"/>
    </xf>
    <xf numFmtId="0" fontId="80" fillId="2" borderId="8" xfId="0" applyFont="1" applyFill="1" applyBorder="1" applyAlignment="1" applyProtection="1">
      <alignment horizontal="right" vertical="center"/>
    </xf>
    <xf numFmtId="10" fontId="83" fillId="2" borderId="8" xfId="0" applyNumberFormat="1" applyFont="1" applyFill="1" applyBorder="1" applyAlignment="1" applyProtection="1">
      <alignment horizontal="center" vertical="center"/>
    </xf>
    <xf numFmtId="10" fontId="83" fillId="2" borderId="7" xfId="0" applyNumberFormat="1" applyFont="1" applyFill="1" applyBorder="1" applyAlignment="1" applyProtection="1">
      <alignment horizontal="center" vertical="center"/>
    </xf>
    <xf numFmtId="10" fontId="83" fillId="2" borderId="10" xfId="0" applyNumberFormat="1" applyFont="1" applyFill="1" applyBorder="1" applyAlignment="1" applyProtection="1">
      <alignment horizontal="center" vertical="center"/>
    </xf>
    <xf numFmtId="10" fontId="83" fillId="2" borderId="9" xfId="0" applyNumberFormat="1" applyFont="1" applyFill="1" applyBorder="1" applyAlignment="1" applyProtection="1">
      <alignment horizontal="center" vertical="center"/>
    </xf>
    <xf numFmtId="10" fontId="83" fillId="7" borderId="32" xfId="0" applyNumberFormat="1" applyFont="1" applyFill="1" applyBorder="1" applyAlignment="1" applyProtection="1">
      <alignment horizontal="center" vertical="center"/>
    </xf>
    <xf numFmtId="10" fontId="83" fillId="7" borderId="33" xfId="0" applyNumberFormat="1" applyFont="1" applyFill="1" applyBorder="1" applyAlignment="1" applyProtection="1">
      <alignment horizontal="center" vertical="center"/>
    </xf>
    <xf numFmtId="10" fontId="83" fillId="7" borderId="36" xfId="0" applyNumberFormat="1" applyFont="1" applyFill="1" applyBorder="1" applyAlignment="1" applyProtection="1">
      <alignment horizontal="center" vertical="center"/>
    </xf>
    <xf numFmtId="0" fontId="41" fillId="2" borderId="8" xfId="0" applyFont="1" applyFill="1" applyBorder="1" applyAlignment="1" applyProtection="1">
      <alignment horizontal="right" vertical="center"/>
    </xf>
    <xf numFmtId="166" fontId="26" fillId="2" borderId="8" xfId="0" applyNumberFormat="1" applyFont="1" applyFill="1" applyBorder="1" applyAlignment="1" applyProtection="1">
      <alignment horizontal="right" vertical="center"/>
    </xf>
    <xf numFmtId="0" fontId="26" fillId="2" borderId="8" xfId="0" applyFont="1" applyFill="1" applyBorder="1" applyAlignment="1" applyProtection="1">
      <alignment horizontal="right" vertical="center"/>
    </xf>
    <xf numFmtId="0" fontId="37" fillId="2" borderId="8" xfId="0" applyFont="1" applyFill="1" applyBorder="1" applyAlignment="1" applyProtection="1">
      <alignment horizontal="right"/>
    </xf>
    <xf numFmtId="166" fontId="26" fillId="12" borderId="8" xfId="0" applyNumberFormat="1" applyFont="1" applyFill="1" applyBorder="1" applyAlignment="1" applyProtection="1">
      <alignment horizontal="right" vertical="center"/>
      <protection locked="0"/>
    </xf>
    <xf numFmtId="16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41" fillId="2" borderId="8" xfId="0" applyFont="1" applyFill="1" applyBorder="1" applyAlignment="1" applyProtection="1">
      <alignment horizontal="left"/>
    </xf>
    <xf numFmtId="0" fontId="29" fillId="2" borderId="8" xfId="0" applyFont="1" applyFill="1" applyBorder="1" applyAlignment="1" applyProtection="1">
      <alignment horizontal="center" vertical="center"/>
    </xf>
    <xf numFmtId="0" fontId="32" fillId="7" borderId="8" xfId="0" applyFont="1" applyFill="1" applyBorder="1" applyAlignment="1" applyProtection="1">
      <alignment horizontal="center" vertical="center"/>
    </xf>
    <xf numFmtId="0" fontId="29" fillId="2" borderId="8" xfId="0" applyFont="1" applyFill="1" applyBorder="1" applyAlignment="1" applyProtection="1">
      <alignment horizontal="center"/>
    </xf>
    <xf numFmtId="179" fontId="26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2" borderId="8" xfId="0" applyNumberFormat="1" applyFont="1" applyFill="1" applyBorder="1" applyAlignment="1" applyProtection="1">
      <alignment horizontal="center" vertical="center"/>
    </xf>
    <xf numFmtId="1" fontId="62" fillId="3" borderId="8" xfId="0" applyNumberFormat="1" applyFont="1" applyFill="1" applyBorder="1" applyAlignment="1" applyProtection="1">
      <alignment horizontal="center" vertical="center"/>
      <protection locked="0"/>
    </xf>
    <xf numFmtId="1" fontId="26" fillId="3" borderId="8" xfId="0" applyNumberFormat="1" applyFont="1" applyFill="1" applyBorder="1" applyAlignment="1" applyProtection="1">
      <alignment horizontal="center" vertical="center"/>
      <protection locked="0"/>
    </xf>
    <xf numFmtId="10" fontId="26" fillId="3" borderId="8" xfId="0" applyNumberFormat="1" applyFont="1" applyFill="1" applyBorder="1" applyAlignment="1" applyProtection="1">
      <alignment horizontal="center" vertical="center"/>
      <protection locked="0"/>
    </xf>
    <xf numFmtId="179" fontId="26" fillId="2" borderId="8" xfId="0" applyNumberFormat="1" applyFont="1" applyFill="1" applyBorder="1" applyAlignment="1" applyProtection="1">
      <alignment horizontal="center" vertical="center"/>
    </xf>
    <xf numFmtId="179" fontId="26" fillId="0" borderId="8" xfId="0" applyNumberFormat="1" applyFont="1" applyFill="1" applyBorder="1" applyAlignment="1" applyProtection="1">
      <alignment horizontal="center" vertical="center"/>
      <protection locked="0"/>
    </xf>
    <xf numFmtId="3" fontId="26" fillId="0" borderId="8" xfId="0" applyNumberFormat="1" applyFont="1" applyFill="1" applyBorder="1" applyAlignment="1" applyProtection="1">
      <alignment horizontal="center" vertical="center"/>
      <protection locked="0"/>
    </xf>
    <xf numFmtId="168" fontId="26" fillId="2" borderId="8" xfId="0" applyNumberFormat="1" applyFont="1" applyFill="1" applyBorder="1" applyAlignment="1" applyProtection="1">
      <alignment horizontal="center" vertical="center"/>
    </xf>
    <xf numFmtId="9" fontId="26" fillId="2" borderId="8" xfId="0" applyNumberFormat="1" applyFont="1" applyFill="1" applyBorder="1" applyAlignment="1" applyProtection="1">
      <alignment horizontal="center" vertical="center"/>
    </xf>
    <xf numFmtId="3" fontId="26" fillId="3" borderId="7" xfId="0" applyNumberFormat="1" applyFont="1" applyFill="1" applyBorder="1" applyAlignment="1" applyProtection="1">
      <alignment horizontal="center" vertical="center"/>
      <protection locked="0"/>
    </xf>
    <xf numFmtId="3" fontId="26" fillId="3" borderId="10" xfId="0" applyNumberFormat="1" applyFont="1" applyFill="1" applyBorder="1" applyAlignment="1" applyProtection="1">
      <alignment horizontal="center" vertical="center"/>
      <protection locked="0"/>
    </xf>
    <xf numFmtId="3" fontId="26" fillId="3" borderId="9" xfId="0" applyNumberFormat="1" applyFont="1" applyFill="1" applyBorder="1" applyAlignment="1" applyProtection="1">
      <alignment horizontal="center" vertical="center"/>
      <protection locked="0"/>
    </xf>
    <xf numFmtId="0" fontId="32" fillId="2" borderId="11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1" fillId="2" borderId="8" xfId="0" applyNumberFormat="1" applyFont="1" applyFill="1" applyBorder="1" applyAlignment="1" applyProtection="1">
      <alignment horizontal="left" vertical="center"/>
    </xf>
    <xf numFmtId="4" fontId="26" fillId="2" borderId="8" xfId="0" applyNumberFormat="1" applyFont="1" applyFill="1" applyBorder="1" applyAlignment="1" applyProtection="1">
      <alignment horizontal="center" vertical="center"/>
    </xf>
    <xf numFmtId="4" fontId="26" fillId="0" borderId="8" xfId="0" applyNumberFormat="1" applyFont="1" applyFill="1" applyBorder="1" applyAlignment="1" applyProtection="1">
      <alignment horizontal="center" vertical="center"/>
      <protection locked="0"/>
    </xf>
    <xf numFmtId="3" fontId="26" fillId="10" borderId="7" xfId="0" applyNumberFormat="1" applyFont="1" applyFill="1" applyBorder="1" applyAlignment="1" applyProtection="1">
      <alignment horizontal="center" vertical="center"/>
      <protection locked="0"/>
    </xf>
    <xf numFmtId="3" fontId="26" fillId="10" borderId="10" xfId="0" applyNumberFormat="1" applyFont="1" applyFill="1" applyBorder="1" applyAlignment="1" applyProtection="1">
      <alignment horizontal="center" vertical="center"/>
      <protection locked="0"/>
    </xf>
    <xf numFmtId="3" fontId="26" fillId="10" borderId="9" xfId="0" applyNumberFormat="1" applyFont="1" applyFill="1" applyBorder="1" applyAlignment="1" applyProtection="1">
      <alignment horizontal="center" vertical="center"/>
      <protection locked="0"/>
    </xf>
    <xf numFmtId="0" fontId="41" fillId="4" borderId="12" xfId="0" applyFont="1" applyFill="1" applyBorder="1" applyAlignment="1" applyProtection="1">
      <alignment horizontal="left"/>
    </xf>
    <xf numFmtId="0" fontId="26" fillId="4" borderId="12" xfId="0" applyFont="1" applyFill="1" applyBorder="1" applyAlignment="1" applyProtection="1">
      <alignment horizontal="center"/>
    </xf>
    <xf numFmtId="168" fontId="26" fillId="4" borderId="12" xfId="0" applyNumberFormat="1" applyFont="1" applyFill="1" applyBorder="1" applyAlignment="1" applyProtection="1">
      <alignment horizontal="center" vertical="center"/>
    </xf>
    <xf numFmtId="168" fontId="26" fillId="3" borderId="12" xfId="0" applyNumberFormat="1" applyFont="1" applyFill="1" applyBorder="1" applyAlignment="1" applyProtection="1">
      <alignment horizontal="center" vertical="center"/>
      <protection locked="0"/>
    </xf>
    <xf numFmtId="0" fontId="26" fillId="7" borderId="35" xfId="0" applyFont="1" applyFill="1" applyBorder="1" applyAlignment="1" applyProtection="1">
      <alignment horizontal="left"/>
    </xf>
    <xf numFmtId="0" fontId="26" fillId="7" borderId="35" xfId="0" applyFont="1" applyFill="1" applyBorder="1" applyAlignment="1" applyProtection="1">
      <alignment horizontal="center"/>
    </xf>
    <xf numFmtId="2" fontId="26" fillId="7" borderId="3" xfId="0" applyNumberFormat="1" applyFont="1" applyFill="1" applyBorder="1" applyAlignment="1" applyProtection="1">
      <alignment horizontal="center" vertical="center"/>
    </xf>
    <xf numFmtId="2" fontId="26" fillId="7" borderId="2" xfId="0" applyNumberFormat="1" applyFont="1" applyFill="1" applyBorder="1" applyAlignment="1" applyProtection="1">
      <alignment horizontal="center" vertical="center"/>
    </xf>
    <xf numFmtId="2" fontId="26" fillId="7" borderId="1" xfId="0" applyNumberFormat="1" applyFont="1" applyFill="1" applyBorder="1" applyAlignment="1" applyProtection="1">
      <alignment horizontal="center" vertical="center"/>
    </xf>
    <xf numFmtId="2" fontId="26" fillId="3" borderId="35" xfId="0" applyNumberFormat="1" applyFont="1" applyFill="1" applyBorder="1" applyAlignment="1" applyProtection="1">
      <alignment horizontal="center" vertical="center"/>
      <protection locked="0"/>
    </xf>
    <xf numFmtId="0" fontId="41" fillId="2" borderId="18" xfId="0" applyFont="1" applyFill="1" applyBorder="1" applyAlignment="1" applyProtection="1">
      <alignment horizontal="left"/>
    </xf>
    <xf numFmtId="0" fontId="26" fillId="2" borderId="11" xfId="0" applyFont="1" applyFill="1" applyBorder="1" applyAlignment="1" applyProtection="1">
      <alignment horizontal="center"/>
    </xf>
    <xf numFmtId="168" fontId="26" fillId="2" borderId="11" xfId="0" applyNumberFormat="1" applyFont="1" applyFill="1" applyBorder="1" applyAlignment="1" applyProtection="1">
      <alignment horizontal="center" vertical="center"/>
    </xf>
    <xf numFmtId="168" fontId="26" fillId="3" borderId="11" xfId="0" applyNumberFormat="1" applyFont="1" applyFill="1" applyBorder="1" applyAlignment="1" applyProtection="1">
      <alignment horizontal="center" vertical="center"/>
      <protection locked="0"/>
    </xf>
    <xf numFmtId="0" fontId="67" fillId="7" borderId="38" xfId="0" applyFont="1" applyFill="1" applyBorder="1" applyAlignment="1" applyProtection="1">
      <alignment horizontal="left"/>
    </xf>
    <xf numFmtId="0" fontId="67" fillId="7" borderId="39" xfId="0" applyFont="1" applyFill="1" applyBorder="1" applyAlignment="1" applyProtection="1">
      <alignment horizontal="left"/>
    </xf>
    <xf numFmtId="0" fontId="26" fillId="7" borderId="40" xfId="0" applyFont="1" applyFill="1" applyBorder="1" applyAlignment="1" applyProtection="1">
      <alignment horizontal="center" vertical="center"/>
    </xf>
    <xf numFmtId="0" fontId="26" fillId="7" borderId="41" xfId="0" applyFont="1" applyFill="1" applyBorder="1" applyAlignment="1" applyProtection="1">
      <alignment horizontal="center" vertical="center"/>
    </xf>
    <xf numFmtId="3" fontId="26" fillId="7" borderId="40" xfId="0" applyNumberFormat="1" applyFont="1" applyFill="1" applyBorder="1" applyAlignment="1" applyProtection="1">
      <alignment horizontal="center" vertical="center"/>
    </xf>
    <xf numFmtId="3" fontId="26" fillId="7" borderId="26" xfId="0" applyNumberFormat="1" applyFont="1" applyFill="1" applyBorder="1" applyAlignment="1" applyProtection="1">
      <alignment horizontal="center" vertical="center"/>
    </xf>
    <xf numFmtId="3" fontId="26" fillId="7" borderId="27" xfId="0" applyNumberFormat="1" applyFont="1" applyFill="1" applyBorder="1" applyAlignment="1" applyProtection="1">
      <alignment horizontal="center" vertical="center"/>
    </xf>
    <xf numFmtId="168" fontId="26" fillId="4" borderId="8" xfId="0" applyNumberFormat="1" applyFont="1" applyFill="1" applyBorder="1" applyAlignment="1" applyProtection="1">
      <alignment horizontal="center" vertical="center"/>
    </xf>
    <xf numFmtId="3" fontId="4" fillId="0" borderId="8" xfId="0" applyNumberFormat="1" applyFont="1" applyBorder="1" applyAlignment="1" applyProtection="1">
      <alignment horizontal="right" vertical="center"/>
      <protection locked="0"/>
    </xf>
    <xf numFmtId="3" fontId="43" fillId="2" borderId="8" xfId="0" applyNumberFormat="1" applyFont="1" applyFill="1" applyBorder="1" applyAlignment="1" applyProtection="1">
      <alignment horizontal="right" vertical="center"/>
    </xf>
    <xf numFmtId="0" fontId="41" fillId="5" borderId="12" xfId="0" applyFont="1" applyFill="1" applyBorder="1" applyAlignment="1" applyProtection="1">
      <alignment horizontal="left"/>
    </xf>
    <xf numFmtId="0" fontId="26" fillId="5" borderId="12" xfId="0" applyFont="1" applyFill="1" applyBorder="1" applyAlignment="1" applyProtection="1">
      <alignment horizontal="center"/>
    </xf>
    <xf numFmtId="168" fontId="26" fillId="5" borderId="12" xfId="0" applyNumberFormat="1" applyFont="1" applyFill="1" applyBorder="1" applyAlignment="1" applyProtection="1">
      <alignment horizontal="center" vertical="center"/>
    </xf>
    <xf numFmtId="0" fontId="41" fillId="4" borderId="18" xfId="0" applyFont="1" applyFill="1" applyBorder="1" applyAlignment="1" applyProtection="1">
      <alignment horizontal="left"/>
    </xf>
    <xf numFmtId="0" fontId="26" fillId="4" borderId="11" xfId="0" applyFont="1" applyFill="1" applyBorder="1" applyAlignment="1" applyProtection="1">
      <alignment horizontal="center"/>
    </xf>
    <xf numFmtId="3" fontId="26" fillId="4" borderId="11" xfId="0" applyNumberFormat="1" applyFont="1" applyFill="1" applyBorder="1" applyAlignment="1" applyProtection="1">
      <alignment horizontal="right" vertical="center"/>
    </xf>
    <xf numFmtId="3" fontId="26" fillId="3" borderId="11" xfId="0" applyNumberFormat="1" applyFont="1" applyFill="1" applyBorder="1" applyAlignment="1" applyProtection="1">
      <alignment horizontal="center" vertical="center"/>
      <protection locked="0"/>
    </xf>
    <xf numFmtId="3" fontId="26" fillId="3" borderId="11" xfId="0" applyNumberFormat="1" applyFont="1" applyFill="1" applyBorder="1" applyAlignment="1" applyProtection="1">
      <alignment horizontal="right" vertical="center"/>
      <protection locked="0"/>
    </xf>
    <xf numFmtId="0" fontId="4" fillId="7" borderId="8" xfId="0" applyFont="1" applyFill="1" applyBorder="1" applyAlignment="1" applyProtection="1">
      <alignment horizontal="center" vertical="center"/>
    </xf>
    <xf numFmtId="3" fontId="26" fillId="4" borderId="8" xfId="0" applyNumberFormat="1" applyFont="1" applyFill="1" applyBorder="1" applyAlignment="1" applyProtection="1">
      <alignment horizontal="right" vertical="center"/>
    </xf>
    <xf numFmtId="3" fontId="26" fillId="3" borderId="8" xfId="0" applyNumberFormat="1" applyFont="1" applyFill="1" applyBorder="1" applyAlignment="1" applyProtection="1">
      <alignment horizontal="right" vertical="center"/>
      <protection locked="0"/>
    </xf>
    <xf numFmtId="3" fontId="26" fillId="5" borderId="8" xfId="0" applyNumberFormat="1" applyFont="1" applyFill="1" applyBorder="1" applyAlignment="1" applyProtection="1">
      <alignment horizontal="right" vertical="center"/>
    </xf>
    <xf numFmtId="0" fontId="41" fillId="5" borderId="8" xfId="0" applyFont="1" applyFill="1" applyBorder="1" applyAlignment="1" applyProtection="1">
      <alignment horizontal="left"/>
    </xf>
    <xf numFmtId="0" fontId="26" fillId="5" borderId="8" xfId="0" applyFont="1" applyFill="1" applyBorder="1" applyAlignment="1" applyProtection="1">
      <alignment horizontal="center"/>
    </xf>
    <xf numFmtId="168" fontId="26" fillId="5" borderId="8" xfId="0" applyNumberFormat="1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3" fontId="4" fillId="2" borderId="8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 applyProtection="1">
      <alignment horizontal="left"/>
    </xf>
    <xf numFmtId="0" fontId="26" fillId="2" borderId="12" xfId="0" applyFont="1" applyFill="1" applyBorder="1" applyAlignment="1" applyProtection="1">
      <alignment horizontal="center"/>
    </xf>
    <xf numFmtId="3" fontId="26" fillId="2" borderId="12" xfId="0" applyNumberFormat="1" applyFont="1" applyFill="1" applyBorder="1" applyAlignment="1" applyProtection="1">
      <alignment horizontal="right" vertical="center"/>
    </xf>
    <xf numFmtId="3" fontId="26" fillId="3" borderId="12" xfId="0" applyNumberFormat="1" applyFont="1" applyFill="1" applyBorder="1" applyAlignment="1" applyProtection="1">
      <alignment horizontal="center" vertical="center"/>
      <protection locked="0"/>
    </xf>
    <xf numFmtId="3" fontId="26" fillId="3" borderId="12" xfId="0" applyNumberFormat="1" applyFont="1" applyFill="1" applyBorder="1" applyAlignment="1" applyProtection="1">
      <alignment horizontal="right" vertical="center"/>
      <protection locked="0"/>
    </xf>
    <xf numFmtId="3" fontId="26" fillId="5" borderId="11" xfId="0" applyNumberFormat="1" applyFont="1" applyFill="1" applyBorder="1" applyAlignment="1" applyProtection="1">
      <alignment horizontal="right" vertical="center"/>
    </xf>
    <xf numFmtId="0" fontId="26" fillId="5" borderId="11" xfId="0" applyFont="1" applyFill="1" applyBorder="1" applyAlignment="1" applyProtection="1">
      <alignment horizontal="center"/>
    </xf>
    <xf numFmtId="0" fontId="41" fillId="5" borderId="11" xfId="0" applyFont="1" applyFill="1" applyBorder="1" applyAlignment="1" applyProtection="1">
      <alignment horizontal="left"/>
    </xf>
    <xf numFmtId="3" fontId="26" fillId="2" borderId="8" xfId="0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10" xfId="0" applyNumberFormat="1" applyFont="1" applyFill="1" applyBorder="1" applyAlignment="1" applyProtection="1">
      <alignment horizontal="right" vertical="center"/>
    </xf>
    <xf numFmtId="3" fontId="4" fillId="2" borderId="9" xfId="0" applyNumberFormat="1" applyFont="1" applyFill="1" applyBorder="1" applyAlignment="1" applyProtection="1">
      <alignment horizontal="right" vertical="center"/>
    </xf>
    <xf numFmtId="0" fontId="40" fillId="2" borderId="8" xfId="0" applyFont="1" applyFill="1" applyBorder="1" applyAlignment="1" applyProtection="1">
      <alignment horizontal="left"/>
    </xf>
    <xf numFmtId="170" fontId="26" fillId="2" borderId="8" xfId="0" applyNumberFormat="1" applyFont="1" applyFill="1" applyBorder="1" applyAlignment="1" applyProtection="1">
      <alignment horizontal="center" vertical="center"/>
    </xf>
    <xf numFmtId="170" fontId="26" fillId="3" borderId="8" xfId="0" applyNumberFormat="1" applyFont="1" applyFill="1" applyBorder="1" applyAlignment="1" applyProtection="1">
      <alignment horizontal="center" vertical="center"/>
      <protection locked="0"/>
    </xf>
    <xf numFmtId="3" fontId="2" fillId="0" borderId="19" xfId="0" applyNumberFormat="1" applyFont="1" applyFill="1" applyBorder="1" applyAlignment="1" applyProtection="1">
      <alignment horizontal="right" vertical="center"/>
      <protection locked="0"/>
    </xf>
    <xf numFmtId="0" fontId="10" fillId="7" borderId="19" xfId="0" applyFont="1" applyFill="1" applyBorder="1" applyAlignment="1" applyProtection="1">
      <alignment horizontal="center" vertical="center"/>
    </xf>
    <xf numFmtId="3" fontId="2" fillId="9" borderId="32" xfId="0" applyNumberFormat="1" applyFont="1" applyFill="1" applyBorder="1" applyAlignment="1" applyProtection="1">
      <alignment horizontal="center" vertical="center"/>
    </xf>
    <xf numFmtId="3" fontId="2" fillId="9" borderId="33" xfId="0" applyNumberFormat="1" applyFont="1" applyFill="1" applyBorder="1" applyAlignment="1" applyProtection="1">
      <alignment horizontal="center" vertical="center"/>
    </xf>
    <xf numFmtId="3" fontId="2" fillId="9" borderId="36" xfId="0" applyNumberFormat="1" applyFont="1" applyFill="1" applyBorder="1" applyAlignment="1" applyProtection="1">
      <alignment horizontal="center" vertical="center"/>
    </xf>
    <xf numFmtId="0" fontId="74" fillId="2" borderId="0" xfId="0" applyFont="1" applyFill="1" applyAlignment="1" applyProtection="1">
      <alignment horizontal="center" vertical="center"/>
    </xf>
    <xf numFmtId="10" fontId="13" fillId="2" borderId="5" xfId="0" applyNumberFormat="1" applyFont="1" applyFill="1" applyBorder="1" applyAlignment="1" applyProtection="1">
      <alignment horizontal="center" vertical="center"/>
    </xf>
    <xf numFmtId="10" fontId="13" fillId="2" borderId="30" xfId="0" applyNumberFormat="1" applyFont="1" applyFill="1" applyBorder="1" applyAlignment="1" applyProtection="1">
      <alignment horizontal="center" vertical="center"/>
    </xf>
    <xf numFmtId="10" fontId="13" fillId="2" borderId="13" xfId="0" applyNumberFormat="1" applyFont="1" applyFill="1" applyBorder="1" applyAlignment="1" applyProtection="1">
      <alignment horizontal="center" vertical="center"/>
    </xf>
    <xf numFmtId="0" fontId="13" fillId="13" borderId="4" xfId="0" applyFont="1" applyFill="1" applyBorder="1" applyAlignment="1" applyProtection="1">
      <alignment horizontal="center" vertical="center"/>
    </xf>
    <xf numFmtId="0" fontId="46" fillId="2" borderId="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right" vertical="center"/>
    </xf>
    <xf numFmtId="3" fontId="2" fillId="7" borderId="34" xfId="0" applyNumberFormat="1" applyFont="1" applyFill="1" applyBorder="1" applyAlignment="1" applyProtection="1">
      <alignment horizontal="right" vertical="center"/>
    </xf>
    <xf numFmtId="3" fontId="2" fillId="7" borderId="19" xfId="0" applyNumberFormat="1" applyFont="1" applyFill="1" applyBorder="1" applyAlignment="1" applyProtection="1">
      <alignment horizontal="right" vertical="center"/>
    </xf>
    <xf numFmtId="0" fontId="13" fillId="7" borderId="19" xfId="0" applyFont="1" applyFill="1" applyBorder="1" applyAlignment="1" applyProtection="1">
      <alignment horizontal="center" vertical="center"/>
    </xf>
    <xf numFmtId="0" fontId="75" fillId="2" borderId="25" xfId="0" applyFont="1" applyFill="1" applyBorder="1" applyAlignment="1" applyProtection="1">
      <alignment horizontal="center" vertical="center"/>
    </xf>
    <xf numFmtId="0" fontId="75" fillId="2" borderId="26" xfId="0" applyFont="1" applyFill="1" applyBorder="1" applyAlignment="1" applyProtection="1">
      <alignment horizontal="center" vertical="center"/>
    </xf>
    <xf numFmtId="0" fontId="75" fillId="2" borderId="27" xfId="0" applyFont="1" applyFill="1" applyBorder="1" applyAlignment="1" applyProtection="1">
      <alignment horizontal="center" vertical="center"/>
    </xf>
    <xf numFmtId="0" fontId="13" fillId="7" borderId="13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3" fontId="4" fillId="7" borderId="35" xfId="0" applyNumberFormat="1" applyFont="1" applyFill="1" applyBorder="1" applyAlignment="1" applyProtection="1">
      <alignment horizontal="right" vertical="center"/>
    </xf>
    <xf numFmtId="3" fontId="2" fillId="7" borderId="37" xfId="0" applyNumberFormat="1" applyFont="1" applyFill="1" applyBorder="1" applyAlignment="1" applyProtection="1">
      <alignment horizontal="center" vertical="center"/>
    </xf>
    <xf numFmtId="0" fontId="58" fillId="0" borderId="25" xfId="0" applyFont="1" applyFill="1" applyBorder="1" applyAlignment="1" applyProtection="1">
      <alignment horizontal="left" vertical="center"/>
    </xf>
    <xf numFmtId="0" fontId="58" fillId="0" borderId="26" xfId="0" applyFont="1" applyFill="1" applyBorder="1" applyAlignment="1" applyProtection="1">
      <alignment horizontal="left" vertical="center"/>
    </xf>
    <xf numFmtId="0" fontId="58" fillId="0" borderId="27" xfId="0" applyFont="1" applyFill="1" applyBorder="1" applyAlignment="1" applyProtection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</xf>
    <xf numFmtId="3" fontId="2" fillId="13" borderId="13" xfId="0" applyNumberFormat="1" applyFont="1" applyFill="1" applyBorder="1" applyAlignment="1" applyProtection="1">
      <alignment horizontal="right" vertical="center"/>
    </xf>
    <xf numFmtId="3" fontId="2" fillId="13" borderId="4" xfId="0" applyNumberFormat="1" applyFont="1" applyFill="1" applyBorder="1" applyAlignment="1" applyProtection="1">
      <alignment horizontal="right" vertical="center"/>
    </xf>
    <xf numFmtId="3" fontId="2" fillId="2" borderId="13" xfId="0" applyNumberFormat="1" applyFont="1" applyFill="1" applyBorder="1" applyAlignment="1" applyProtection="1">
      <alignment horizontal="right" vertical="center"/>
    </xf>
    <xf numFmtId="0" fontId="2" fillId="7" borderId="105" xfId="0" applyNumberFormat="1" applyFont="1" applyFill="1" applyBorder="1" applyAlignment="1" applyProtection="1">
      <alignment horizontal="center" vertical="center"/>
    </xf>
    <xf numFmtId="0" fontId="2" fillId="7" borderId="106" xfId="0" applyNumberFormat="1" applyFont="1" applyFill="1" applyBorder="1" applyAlignment="1" applyProtection="1">
      <alignment horizontal="center" vertical="center"/>
    </xf>
    <xf numFmtId="0" fontId="2" fillId="2" borderId="79" xfId="0" applyNumberFormat="1" applyFont="1" applyFill="1" applyBorder="1" applyAlignment="1" applyProtection="1">
      <alignment horizontal="center" vertical="center"/>
    </xf>
    <xf numFmtId="3" fontId="2" fillId="0" borderId="16" xfId="0" applyNumberFormat="1" applyFont="1" applyFill="1" applyBorder="1" applyAlignment="1" applyProtection="1">
      <alignment horizontal="right" vertical="center"/>
      <protection locked="0"/>
    </xf>
    <xf numFmtId="0" fontId="10" fillId="13" borderId="4" xfId="0" applyFont="1" applyFill="1" applyBorder="1" applyAlignment="1" applyProtection="1">
      <alignment horizontal="center" vertical="center"/>
    </xf>
    <xf numFmtId="3" fontId="2" fillId="2" borderId="52" xfId="0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3" fontId="2" fillId="7" borderId="112" xfId="0" applyNumberFormat="1" applyFont="1" applyFill="1" applyBorder="1" applyAlignment="1" applyProtection="1">
      <alignment horizontal="center" vertical="center"/>
    </xf>
    <xf numFmtId="3" fontId="2" fillId="7" borderId="45" xfId="0" applyNumberFormat="1" applyFont="1" applyFill="1" applyBorder="1" applyAlignment="1" applyProtection="1">
      <alignment horizontal="center" vertical="center"/>
    </xf>
    <xf numFmtId="3" fontId="2" fillId="7" borderId="113" xfId="0" applyNumberFormat="1" applyFont="1" applyFill="1" applyBorder="1" applyAlignment="1" applyProtection="1">
      <alignment horizontal="center" vertical="center"/>
    </xf>
    <xf numFmtId="3" fontId="2" fillId="2" borderId="44" xfId="0" applyNumberFormat="1" applyFont="1" applyFill="1" applyBorder="1" applyAlignment="1" applyProtection="1">
      <alignment horizontal="right" vertical="center"/>
    </xf>
    <xf numFmtId="3" fontId="2" fillId="2" borderId="16" xfId="0" applyNumberFormat="1" applyFont="1" applyFill="1" applyBorder="1" applyAlignment="1" applyProtection="1">
      <alignment horizontal="right" vertical="center"/>
    </xf>
    <xf numFmtId="0" fontId="103" fillId="7" borderId="25" xfId="0" applyFont="1" applyFill="1" applyBorder="1" applyAlignment="1" applyProtection="1">
      <alignment horizontal="left" vertical="center" wrapText="1"/>
    </xf>
    <xf numFmtId="0" fontId="103" fillId="7" borderId="26" xfId="0" applyFont="1" applyFill="1" applyBorder="1" applyAlignment="1" applyProtection="1">
      <alignment horizontal="left" vertical="center" wrapText="1"/>
    </xf>
    <xf numFmtId="0" fontId="103" fillId="7" borderId="27" xfId="0" applyFont="1" applyFill="1" applyBorder="1" applyAlignment="1" applyProtection="1">
      <alignment horizontal="left" vertical="center" wrapText="1"/>
    </xf>
    <xf numFmtId="3" fontId="4" fillId="2" borderId="11" xfId="0" applyNumberFormat="1" applyFont="1" applyFill="1" applyBorder="1" applyAlignment="1" applyProtection="1">
      <alignment horizontal="right" vertical="center"/>
    </xf>
    <xf numFmtId="178" fontId="2" fillId="0" borderId="13" xfId="0" applyNumberFormat="1" applyFont="1" applyFill="1" applyBorder="1" applyAlignment="1" applyProtection="1">
      <alignment horizontal="center" vertical="center"/>
      <protection locked="0"/>
    </xf>
    <xf numFmtId="178" fontId="2" fillId="0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right" vertical="center"/>
    </xf>
    <xf numFmtId="0" fontId="2" fillId="2" borderId="13" xfId="0" applyFont="1" applyFill="1" applyBorder="1" applyAlignment="1" applyProtection="1">
      <alignment horizontal="left" vertical="center"/>
    </xf>
    <xf numFmtId="0" fontId="13" fillId="2" borderId="25" xfId="0" applyFont="1" applyFill="1" applyBorder="1" applyAlignment="1" applyProtection="1">
      <alignment horizontal="right" vertical="center"/>
    </xf>
    <xf numFmtId="0" fontId="13" fillId="2" borderId="55" xfId="0" applyFont="1" applyFill="1" applyBorder="1" applyAlignment="1" applyProtection="1">
      <alignment horizontal="right" vertical="center"/>
    </xf>
    <xf numFmtId="0" fontId="13" fillId="2" borderId="54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48" fillId="2" borderId="17" xfId="0" applyFont="1" applyFill="1" applyBorder="1" applyAlignment="1" applyProtection="1">
      <alignment horizontal="right" vertical="center"/>
    </xf>
    <xf numFmtId="0" fontId="48" fillId="2" borderId="28" xfId="0" applyFont="1" applyFill="1" applyBorder="1" applyAlignment="1" applyProtection="1">
      <alignment horizontal="right" vertical="center"/>
    </xf>
    <xf numFmtId="182" fontId="4" fillId="10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right" vertical="center"/>
    </xf>
    <xf numFmtId="0" fontId="2" fillId="2" borderId="55" xfId="0" applyFont="1" applyFill="1" applyBorder="1" applyAlignment="1" applyProtection="1">
      <alignment horizontal="right" vertical="center"/>
    </xf>
    <xf numFmtId="0" fontId="2" fillId="2" borderId="54" xfId="0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26" fillId="7" borderId="35" xfId="0" applyFont="1" applyFill="1" applyBorder="1" applyAlignment="1" applyProtection="1">
      <alignment horizontal="center" vertical="center"/>
    </xf>
    <xf numFmtId="0" fontId="4" fillId="7" borderId="3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right" vertical="center"/>
    </xf>
    <xf numFmtId="0" fontId="48" fillId="2" borderId="25" xfId="0" applyFont="1" applyFill="1" applyBorder="1" applyAlignment="1" applyProtection="1">
      <alignment horizontal="center" vertical="center"/>
    </xf>
    <xf numFmtId="0" fontId="48" fillId="2" borderId="26" xfId="0" applyFont="1" applyFill="1" applyBorder="1" applyAlignment="1" applyProtection="1">
      <alignment horizontal="center" vertical="center"/>
    </xf>
    <xf numFmtId="0" fontId="48" fillId="2" borderId="27" xfId="0" applyFont="1" applyFill="1" applyBorder="1" applyAlignment="1" applyProtection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</xf>
    <xf numFmtId="181" fontId="7" fillId="2" borderId="79" xfId="0" applyNumberFormat="1" applyFont="1" applyFill="1" applyBorder="1" applyAlignment="1" applyProtection="1">
      <alignment horizontal="center" vertical="center"/>
    </xf>
    <xf numFmtId="0" fontId="103" fillId="7" borderId="106" xfId="0" applyNumberFormat="1" applyFont="1" applyFill="1" applyBorder="1" applyAlignment="1" applyProtection="1">
      <alignment horizontal="center" vertical="center" wrapText="1"/>
    </xf>
    <xf numFmtId="0" fontId="103" fillId="7" borderId="107" xfId="0" applyNumberFormat="1" applyFont="1" applyFill="1" applyBorder="1" applyAlignment="1" applyProtection="1">
      <alignment horizontal="center" vertical="center" wrapText="1"/>
    </xf>
    <xf numFmtId="172" fontId="13" fillId="0" borderId="66" xfId="0" applyNumberFormat="1" applyFont="1" applyFill="1" applyBorder="1" applyAlignment="1" applyProtection="1">
      <alignment horizontal="right" vertical="center"/>
      <protection locked="0"/>
    </xf>
    <xf numFmtId="172" fontId="13" fillId="0" borderId="45" xfId="0" applyNumberFormat="1" applyFont="1" applyFill="1" applyBorder="1" applyAlignment="1" applyProtection="1">
      <alignment horizontal="right" vertical="center"/>
      <protection locked="0"/>
    </xf>
    <xf numFmtId="172" fontId="13" fillId="0" borderId="46" xfId="0" applyNumberFormat="1" applyFont="1" applyFill="1" applyBorder="1" applyAlignment="1" applyProtection="1">
      <alignment horizontal="right" vertical="center"/>
      <protection locked="0"/>
    </xf>
    <xf numFmtId="0" fontId="34" fillId="2" borderId="7" xfId="0" applyFont="1" applyFill="1" applyBorder="1" applyAlignment="1" applyProtection="1">
      <alignment horizontal="center" vertical="center"/>
    </xf>
    <xf numFmtId="0" fontId="34" fillId="2" borderId="10" xfId="0" applyFont="1" applyFill="1" applyBorder="1" applyAlignment="1" applyProtection="1">
      <alignment horizontal="center" vertical="center"/>
    </xf>
    <xf numFmtId="10" fontId="2" fillId="6" borderId="25" xfId="0" applyNumberFormat="1" applyFont="1" applyFill="1" applyBorder="1" applyAlignment="1" applyProtection="1">
      <alignment horizontal="center" vertical="center"/>
    </xf>
    <xf numFmtId="10" fontId="2" fillId="6" borderId="26" xfId="0" applyNumberFormat="1" applyFont="1" applyFill="1" applyBorder="1" applyAlignment="1" applyProtection="1">
      <alignment horizontal="center" vertical="center"/>
    </xf>
    <xf numFmtId="10" fontId="2" fillId="6" borderId="27" xfId="0" applyNumberFormat="1" applyFont="1" applyFill="1" applyBorder="1" applyAlignment="1" applyProtection="1">
      <alignment horizontal="center" vertical="center"/>
    </xf>
    <xf numFmtId="0" fontId="55" fillId="0" borderId="25" xfId="0" applyFont="1" applyBorder="1" applyAlignment="1">
      <alignment horizontal="left" vertical="center"/>
    </xf>
    <xf numFmtId="0" fontId="55" fillId="0" borderId="26" xfId="0" applyFont="1" applyBorder="1" applyAlignment="1">
      <alignment horizontal="left" vertical="center"/>
    </xf>
    <xf numFmtId="0" fontId="55" fillId="0" borderId="27" xfId="0" applyFont="1" applyBorder="1" applyAlignment="1">
      <alignment horizontal="left" vertical="center"/>
    </xf>
    <xf numFmtId="0" fontId="7" fillId="2" borderId="45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/>
    </xf>
    <xf numFmtId="0" fontId="40" fillId="7" borderId="48" xfId="0" applyFont="1" applyFill="1" applyBorder="1" applyAlignment="1" applyProtection="1">
      <alignment horizontal="left" vertical="center"/>
    </xf>
    <xf numFmtId="0" fontId="40" fillId="7" borderId="49" xfId="0" applyFont="1" applyFill="1" applyBorder="1" applyAlignment="1" applyProtection="1">
      <alignment horizontal="left" vertical="center"/>
    </xf>
    <xf numFmtId="0" fontId="2" fillId="7" borderId="107" xfId="0" applyNumberFormat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</xf>
    <xf numFmtId="0" fontId="80" fillId="2" borderId="7" xfId="0" applyFont="1" applyFill="1" applyBorder="1" applyAlignment="1" applyProtection="1">
      <alignment horizontal="right" vertical="center"/>
    </xf>
    <xf numFmtId="0" fontId="84" fillId="2" borderId="10" xfId="0" applyFont="1" applyFill="1" applyBorder="1" applyAlignment="1" applyProtection="1">
      <alignment horizontal="right" vertical="center"/>
    </xf>
    <xf numFmtId="0" fontId="98" fillId="2" borderId="7" xfId="0" applyFont="1" applyFill="1" applyBorder="1" applyAlignment="1" applyProtection="1">
      <alignment horizontal="center" vertical="center"/>
    </xf>
    <xf numFmtId="0" fontId="26" fillId="2" borderId="10" xfId="0" applyFont="1" applyFill="1" applyBorder="1" applyAlignment="1" applyProtection="1">
      <alignment horizontal="center" vertical="center"/>
    </xf>
    <xf numFmtId="0" fontId="47" fillId="2" borderId="58" xfId="0" applyFont="1" applyFill="1" applyBorder="1" applyAlignment="1" applyProtection="1">
      <alignment horizontal="center" vertical="top" wrapText="1"/>
    </xf>
    <xf numFmtId="0" fontId="47" fillId="2" borderId="47" xfId="0" applyFont="1" applyFill="1" applyBorder="1" applyAlignment="1" applyProtection="1">
      <alignment horizontal="center" vertical="top" wrapText="1"/>
    </xf>
    <xf numFmtId="0" fontId="47" fillId="2" borderId="114" xfId="0" applyFont="1" applyFill="1" applyBorder="1" applyAlignment="1" applyProtection="1">
      <alignment horizontal="center" vertical="top" wrapText="1"/>
    </xf>
    <xf numFmtId="0" fontId="47" fillId="2" borderId="66" xfId="0" applyFont="1" applyFill="1" applyBorder="1" applyAlignment="1" applyProtection="1">
      <alignment horizontal="center" vertical="top" wrapText="1"/>
    </xf>
    <xf numFmtId="0" fontId="47" fillId="2" borderId="45" xfId="0" applyFont="1" applyFill="1" applyBorder="1" applyAlignment="1" applyProtection="1">
      <alignment horizontal="center" vertical="top" wrapText="1"/>
    </xf>
    <xf numFmtId="0" fontId="47" fillId="2" borderId="46" xfId="0" applyFont="1" applyFill="1" applyBorder="1" applyAlignment="1" applyProtection="1">
      <alignment horizontal="center" vertical="top" wrapText="1"/>
    </xf>
    <xf numFmtId="0" fontId="2" fillId="2" borderId="52" xfId="0" applyFont="1" applyFill="1" applyBorder="1" applyAlignment="1" applyProtection="1">
      <alignment horizontal="right" vertical="center"/>
    </xf>
    <xf numFmtId="0" fontId="2" fillId="2" borderId="52" xfId="0" applyFont="1" applyFill="1" applyBorder="1" applyAlignment="1" applyProtection="1">
      <alignment horizontal="center" vertical="center"/>
    </xf>
    <xf numFmtId="3" fontId="2" fillId="7" borderId="108" xfId="0" applyNumberFormat="1" applyFont="1" applyFill="1" applyBorder="1" applyAlignment="1" applyProtection="1">
      <alignment horizontal="right" vertical="center"/>
    </xf>
    <xf numFmtId="3" fontId="2" fillId="7" borderId="109" xfId="0" applyNumberFormat="1" applyFont="1" applyFill="1" applyBorder="1" applyAlignment="1" applyProtection="1">
      <alignment horizontal="right" vertical="center"/>
    </xf>
    <xf numFmtId="3" fontId="2" fillId="7" borderId="110" xfId="0" applyNumberFormat="1" applyFont="1" applyFill="1" applyBorder="1" applyAlignment="1" applyProtection="1">
      <alignment horizontal="right" vertical="center"/>
    </xf>
    <xf numFmtId="3" fontId="2" fillId="7" borderId="115" xfId="0" applyNumberFormat="1" applyFont="1" applyFill="1" applyBorder="1" applyAlignment="1" applyProtection="1">
      <alignment horizontal="right" vertical="center"/>
    </xf>
  </cellXfs>
  <cellStyles count="4">
    <cellStyle name="Comma" xfId="1" builtinId="3"/>
    <cellStyle name="Normal" xfId="0" builtinId="0"/>
    <cellStyle name="Normal 3" xfId="2"/>
    <cellStyle name="Normal_OTCHET_dh2004" xfId="3"/>
  </cellStyles>
  <dxfs count="3"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8"/>
      </font>
    </dxf>
  </dxfs>
  <tableStyles count="0" defaultTableStyle="TableStyleMedium9" defaultPivotStyle="PivotStyleLight16"/>
  <colors>
    <mruColors>
      <color rgb="FFCCFFCC"/>
      <color rgb="FFCCFF33"/>
      <color rgb="FF0000FF"/>
      <color rgb="FFFF99CC"/>
      <color rgb="FFCCFF99"/>
      <color rgb="FFFF99FF"/>
      <color rgb="FFFFCCCC"/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8"/>
  <sheetViews>
    <sheetView showZeros="0" zoomScale="130" zoomScaleNormal="130" workbookViewId="0">
      <selection activeCell="J94" sqref="J94"/>
    </sheetView>
  </sheetViews>
  <sheetFormatPr defaultColWidth="0" defaultRowHeight="12.75" customHeight="1" zeroHeight="1"/>
  <cols>
    <col min="1" max="28" width="3.83203125" style="25" customWidth="1"/>
    <col min="29" max="16384" width="0" style="25" hidden="1"/>
  </cols>
  <sheetData>
    <row r="1" spans="1:27" ht="15.75" customHeight="1">
      <c r="A1" s="22" t="s">
        <v>188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3"/>
      <c r="X1" s="23"/>
      <c r="Y1" s="23"/>
      <c r="Z1" s="23"/>
      <c r="AA1" s="23"/>
    </row>
    <row r="2" spans="1:27" ht="15.75" customHeight="1">
      <c r="A2" s="22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3"/>
      <c r="X2" s="23"/>
      <c r="Y2" s="23"/>
      <c r="Z2" s="23"/>
      <c r="AA2" s="23"/>
    </row>
    <row r="3" spans="1:27" ht="15.75" customHeight="1">
      <c r="A3" s="82" t="s">
        <v>184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 t="s">
        <v>189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 ht="15.75" customHeight="1">
      <c r="A4" s="84" t="s">
        <v>56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7" ht="15.75" customHeight="1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ht="15.75" customHeight="1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1:27" ht="15.7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  <row r="8" spans="1:27" ht="15.7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</row>
    <row r="9" spans="1:27" ht="15.7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>
      <c r="A11" s="86" t="s">
        <v>19</v>
      </c>
      <c r="B11" s="86"/>
      <c r="C11" s="86"/>
      <c r="D11" s="86"/>
      <c r="E11" s="87" t="s">
        <v>5</v>
      </c>
      <c r="F11" s="87"/>
      <c r="G11" s="88" t="s">
        <v>183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27" ht="15.75" customHeight="1">
      <c r="A12" s="90" t="s">
        <v>190</v>
      </c>
      <c r="B12" s="90"/>
      <c r="C12" s="90"/>
      <c r="D12" s="90"/>
      <c r="E12" s="91" t="s">
        <v>1</v>
      </c>
      <c r="F12" s="91"/>
      <c r="G12" s="88" t="s">
        <v>191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</row>
    <row r="13" spans="1:27" ht="15.75" customHeight="1">
      <c r="A13" s="89" t="s">
        <v>177</v>
      </c>
      <c r="B13" s="89"/>
      <c r="C13" s="89"/>
      <c r="D13" s="89"/>
      <c r="E13" s="87" t="s">
        <v>192</v>
      </c>
      <c r="F13" s="87"/>
      <c r="G13" s="88" t="s">
        <v>193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spans="1:27" ht="15.75" customHeight="1">
      <c r="A14" s="89" t="s">
        <v>175</v>
      </c>
      <c r="B14" s="89"/>
      <c r="C14" s="89"/>
      <c r="D14" s="89"/>
      <c r="E14" s="87" t="s">
        <v>39</v>
      </c>
      <c r="F14" s="87"/>
      <c r="G14" s="88" t="s">
        <v>194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spans="1:27" ht="15.75" customHeight="1">
      <c r="A15" s="89" t="s">
        <v>173</v>
      </c>
      <c r="B15" s="89"/>
      <c r="C15" s="89"/>
      <c r="D15" s="89"/>
      <c r="E15" s="87" t="s">
        <v>39</v>
      </c>
      <c r="F15" s="87"/>
      <c r="G15" s="88" t="s">
        <v>195</v>
      </c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</row>
    <row r="16" spans="1:27" ht="15.75" customHeight="1">
      <c r="A16" s="89" t="s">
        <v>171</v>
      </c>
      <c r="B16" s="89"/>
      <c r="C16" s="89"/>
      <c r="D16" s="89"/>
      <c r="E16" s="87" t="s">
        <v>39</v>
      </c>
      <c r="F16" s="87"/>
      <c r="G16" s="88" t="s">
        <v>196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</row>
    <row r="17" spans="1:27" ht="15.75" customHeight="1">
      <c r="A17" s="26"/>
      <c r="B17" s="27"/>
      <c r="C17" s="27"/>
      <c r="D17" s="27"/>
      <c r="E17" s="28"/>
      <c r="F17" s="28"/>
      <c r="G17" s="28"/>
      <c r="H17" s="28"/>
      <c r="I17" s="2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>
      <c r="A18" s="89" t="s">
        <v>176</v>
      </c>
      <c r="B18" s="89"/>
      <c r="C18" s="89"/>
      <c r="D18" s="89"/>
      <c r="E18" s="92" t="s">
        <v>197</v>
      </c>
      <c r="F18" s="92"/>
      <c r="G18" s="88" t="s">
        <v>198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</row>
    <row r="19" spans="1:27" ht="15.75" customHeight="1">
      <c r="A19" s="89" t="s">
        <v>174</v>
      </c>
      <c r="B19" s="89"/>
      <c r="C19" s="89"/>
      <c r="D19" s="89"/>
      <c r="E19" s="86" t="s">
        <v>34</v>
      </c>
      <c r="F19" s="86"/>
      <c r="G19" s="88" t="s">
        <v>199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spans="1:27" ht="15.75" customHeight="1">
      <c r="A20" s="89" t="s">
        <v>172</v>
      </c>
      <c r="B20" s="89"/>
      <c r="C20" s="89"/>
      <c r="D20" s="89"/>
      <c r="E20" s="86" t="s">
        <v>34</v>
      </c>
      <c r="F20" s="86"/>
      <c r="G20" s="88" t="s">
        <v>200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spans="1:27" ht="15.75" customHeight="1">
      <c r="A21" s="89" t="s">
        <v>170</v>
      </c>
      <c r="B21" s="89"/>
      <c r="C21" s="89"/>
      <c r="D21" s="89"/>
      <c r="E21" s="86" t="s">
        <v>34</v>
      </c>
      <c r="F21" s="86"/>
      <c r="G21" s="88" t="s">
        <v>201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</row>
    <row r="22" spans="1:27" ht="15.75" customHeight="1">
      <c r="A22" s="29"/>
      <c r="B22" s="29"/>
      <c r="C22" s="29"/>
      <c r="D22" s="2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>
      <c r="A23" s="89" t="s">
        <v>202</v>
      </c>
      <c r="B23" s="89"/>
      <c r="C23" s="89"/>
      <c r="D23" s="89"/>
      <c r="E23" s="87" t="s">
        <v>1</v>
      </c>
      <c r="F23" s="87"/>
      <c r="G23" s="88" t="s">
        <v>203</v>
      </c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</row>
    <row r="24" spans="1:27" ht="15.75" customHeight="1">
      <c r="A24" s="89" t="s">
        <v>177</v>
      </c>
      <c r="B24" s="89"/>
      <c r="C24" s="89"/>
      <c r="D24" s="89"/>
      <c r="E24" s="87" t="s">
        <v>204</v>
      </c>
      <c r="F24" s="87"/>
      <c r="G24" s="88" t="s">
        <v>193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</row>
    <row r="25" spans="1:27" ht="15.75" customHeight="1">
      <c r="A25" s="89" t="s">
        <v>175</v>
      </c>
      <c r="B25" s="89"/>
      <c r="C25" s="89"/>
      <c r="D25" s="89"/>
      <c r="E25" s="87" t="s">
        <v>39</v>
      </c>
      <c r="F25" s="87"/>
      <c r="G25" s="88" t="s">
        <v>194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</row>
    <row r="26" spans="1:27" ht="15.75" customHeight="1">
      <c r="A26" s="89" t="s">
        <v>173</v>
      </c>
      <c r="B26" s="89"/>
      <c r="C26" s="89"/>
      <c r="D26" s="89"/>
      <c r="E26" s="87" t="s">
        <v>39</v>
      </c>
      <c r="F26" s="87"/>
      <c r="G26" s="88" t="s">
        <v>195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</row>
    <row r="27" spans="1:27" ht="15.75" customHeight="1">
      <c r="A27" s="89" t="s">
        <v>171</v>
      </c>
      <c r="B27" s="89"/>
      <c r="C27" s="89"/>
      <c r="D27" s="89"/>
      <c r="E27" s="87" t="s">
        <v>39</v>
      </c>
      <c r="F27" s="87"/>
      <c r="G27" s="88" t="s">
        <v>196</v>
      </c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</row>
    <row r="28" spans="1:27" ht="15.75" customHeight="1">
      <c r="A28" s="29"/>
      <c r="B28" s="29"/>
      <c r="C28" s="29"/>
      <c r="D28" s="2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>
      <c r="A29" s="89" t="s">
        <v>205</v>
      </c>
      <c r="B29" s="89"/>
      <c r="C29" s="89"/>
      <c r="D29" s="89"/>
      <c r="E29" s="87" t="s">
        <v>1</v>
      </c>
      <c r="F29" s="87"/>
      <c r="G29" s="88" t="s">
        <v>206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</row>
    <row r="30" spans="1:27" ht="15.75" customHeight="1">
      <c r="A30" s="89" t="s">
        <v>177</v>
      </c>
      <c r="B30" s="89"/>
      <c r="C30" s="89"/>
      <c r="D30" s="89"/>
      <c r="E30" s="87" t="s">
        <v>192</v>
      </c>
      <c r="F30" s="87"/>
      <c r="G30" s="88" t="s">
        <v>193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</row>
    <row r="31" spans="1:27" ht="15.75" customHeight="1">
      <c r="A31" s="89" t="s">
        <v>175</v>
      </c>
      <c r="B31" s="89"/>
      <c r="C31" s="89"/>
      <c r="D31" s="89"/>
      <c r="E31" s="87" t="s">
        <v>39</v>
      </c>
      <c r="F31" s="87"/>
      <c r="G31" s="88" t="s">
        <v>194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</row>
    <row r="32" spans="1:27" ht="15.75" customHeight="1">
      <c r="A32" s="89" t="s">
        <v>173</v>
      </c>
      <c r="B32" s="89"/>
      <c r="C32" s="89"/>
      <c r="D32" s="89"/>
      <c r="E32" s="87" t="s">
        <v>39</v>
      </c>
      <c r="F32" s="87"/>
      <c r="G32" s="88" t="s">
        <v>195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</row>
    <row r="33" spans="1:27" ht="15.75" customHeight="1">
      <c r="A33" s="89" t="s">
        <v>171</v>
      </c>
      <c r="B33" s="89"/>
      <c r="C33" s="89"/>
      <c r="D33" s="89"/>
      <c r="E33" s="87" t="s">
        <v>39</v>
      </c>
      <c r="F33" s="87"/>
      <c r="G33" s="88" t="s">
        <v>196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</row>
    <row r="34" spans="1:27" ht="15.75" customHeight="1">
      <c r="A34" s="29"/>
      <c r="B34" s="29"/>
      <c r="C34" s="29"/>
      <c r="D34" s="2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.75" customHeight="1">
      <c r="A35" s="89" t="s">
        <v>207</v>
      </c>
      <c r="B35" s="89"/>
      <c r="C35" s="89"/>
      <c r="D35" s="89"/>
      <c r="E35" s="87" t="s">
        <v>1</v>
      </c>
      <c r="F35" s="87"/>
      <c r="G35" s="88" t="s">
        <v>208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</row>
    <row r="36" spans="1:27" ht="15.75" customHeight="1">
      <c r="A36" s="89" t="s">
        <v>177</v>
      </c>
      <c r="B36" s="89"/>
      <c r="C36" s="89"/>
      <c r="D36" s="89"/>
      <c r="E36" s="87" t="s">
        <v>192</v>
      </c>
      <c r="F36" s="87"/>
      <c r="G36" s="88" t="s">
        <v>193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</row>
    <row r="37" spans="1:27" ht="15.75" customHeight="1">
      <c r="A37" s="89" t="s">
        <v>175</v>
      </c>
      <c r="B37" s="89"/>
      <c r="C37" s="89"/>
      <c r="D37" s="89"/>
      <c r="E37" s="87" t="s">
        <v>39</v>
      </c>
      <c r="F37" s="87"/>
      <c r="G37" s="88" t="s">
        <v>194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</row>
    <row r="38" spans="1:27" ht="15.75" customHeight="1">
      <c r="A38" s="89" t="s">
        <v>173</v>
      </c>
      <c r="B38" s="89"/>
      <c r="C38" s="89"/>
      <c r="D38" s="89"/>
      <c r="E38" s="87" t="s">
        <v>39</v>
      </c>
      <c r="F38" s="87"/>
      <c r="G38" s="88" t="s">
        <v>195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</row>
    <row r="39" spans="1:27" ht="15.75" customHeight="1">
      <c r="A39" s="89" t="s">
        <v>171</v>
      </c>
      <c r="B39" s="89"/>
      <c r="C39" s="89"/>
      <c r="D39" s="89"/>
      <c r="E39" s="87" t="s">
        <v>39</v>
      </c>
      <c r="F39" s="87"/>
      <c r="G39" s="88" t="s">
        <v>196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</row>
    <row r="40" spans="1:27" ht="15.75" customHeight="1">
      <c r="A40" s="29"/>
      <c r="B40" s="29"/>
      <c r="C40" s="29"/>
      <c r="D40" s="2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.75" customHeight="1">
      <c r="A41" s="89" t="s">
        <v>209</v>
      </c>
      <c r="B41" s="89"/>
      <c r="C41" s="89"/>
      <c r="D41" s="89"/>
      <c r="E41" s="87" t="s">
        <v>1</v>
      </c>
      <c r="F41" s="87"/>
      <c r="G41" s="88" t="s">
        <v>210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</row>
    <row r="42" spans="1:27" ht="15.75" customHeight="1">
      <c r="A42" s="89" t="s">
        <v>177</v>
      </c>
      <c r="B42" s="89"/>
      <c r="C42" s="89"/>
      <c r="D42" s="89"/>
      <c r="E42" s="87" t="s">
        <v>192</v>
      </c>
      <c r="F42" s="87"/>
      <c r="G42" s="88" t="s">
        <v>193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</row>
    <row r="43" spans="1:27" ht="15.75" customHeight="1">
      <c r="A43" s="89" t="s">
        <v>175</v>
      </c>
      <c r="B43" s="89"/>
      <c r="C43" s="89"/>
      <c r="D43" s="89"/>
      <c r="E43" s="87" t="s">
        <v>39</v>
      </c>
      <c r="F43" s="87"/>
      <c r="G43" s="88" t="s">
        <v>194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27" ht="15.75" customHeight="1">
      <c r="A44" s="89" t="s">
        <v>173</v>
      </c>
      <c r="B44" s="89"/>
      <c r="C44" s="89"/>
      <c r="D44" s="89"/>
      <c r="E44" s="87" t="s">
        <v>39</v>
      </c>
      <c r="F44" s="87"/>
      <c r="G44" s="88" t="s">
        <v>195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</row>
    <row r="45" spans="1:27" ht="15.75" customHeight="1">
      <c r="A45" s="89" t="s">
        <v>171</v>
      </c>
      <c r="B45" s="89"/>
      <c r="C45" s="89"/>
      <c r="D45" s="89"/>
      <c r="E45" s="87" t="s">
        <v>39</v>
      </c>
      <c r="F45" s="87"/>
      <c r="G45" s="88" t="s">
        <v>196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</row>
    <row r="46" spans="1:27" ht="15.75" customHeight="1">
      <c r="A46" s="29"/>
      <c r="B46" s="29"/>
      <c r="C46" s="29"/>
      <c r="D46" s="2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>
      <c r="A47" s="29"/>
      <c r="B47" s="29"/>
      <c r="C47" s="29"/>
      <c r="D47" s="2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.75" customHeight="1">
      <c r="A48" s="29"/>
      <c r="B48" s="29"/>
      <c r="C48" s="29"/>
      <c r="D48" s="2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.75" customHeight="1">
      <c r="A49" s="29"/>
      <c r="B49" s="29"/>
      <c r="C49" s="29"/>
      <c r="D49" s="2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.75" customHeight="1">
      <c r="A50" s="29"/>
      <c r="B50" s="29"/>
      <c r="C50" s="29"/>
      <c r="D50" s="2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.75" customHeight="1">
      <c r="A51" s="29"/>
      <c r="B51" s="29"/>
      <c r="C51" s="29"/>
      <c r="D51" s="2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.75" customHeight="1">
      <c r="A52" s="93" t="s">
        <v>211</v>
      </c>
      <c r="B52" s="93"/>
      <c r="C52" s="93"/>
      <c r="D52" s="93"/>
      <c r="E52" s="87" t="s">
        <v>1</v>
      </c>
      <c r="F52" s="87"/>
      <c r="G52" s="88" t="s">
        <v>212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</row>
    <row r="53" spans="1:27" ht="15.75" customHeight="1">
      <c r="A53" s="89" t="s">
        <v>177</v>
      </c>
      <c r="B53" s="89"/>
      <c r="C53" s="89"/>
      <c r="D53" s="89"/>
      <c r="E53" s="87" t="s">
        <v>192</v>
      </c>
      <c r="F53" s="87"/>
      <c r="G53" s="88" t="s">
        <v>213</v>
      </c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</row>
    <row r="54" spans="1:27" ht="15.75" customHeight="1">
      <c r="A54" s="93" t="s">
        <v>214</v>
      </c>
      <c r="B54" s="93"/>
      <c r="C54" s="93"/>
      <c r="D54" s="93"/>
      <c r="E54" s="87" t="s">
        <v>1</v>
      </c>
      <c r="F54" s="87"/>
      <c r="G54" s="88" t="s">
        <v>215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</row>
    <row r="55" spans="1:27" ht="15.75" customHeight="1">
      <c r="A55" s="94" t="s">
        <v>216</v>
      </c>
      <c r="B55" s="94"/>
      <c r="C55" s="94"/>
      <c r="D55" s="94"/>
      <c r="E55" s="87" t="s">
        <v>192</v>
      </c>
      <c r="F55" s="87"/>
      <c r="G55" s="88" t="s">
        <v>217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</row>
    <row r="56" spans="1:27" ht="15.75" customHeight="1">
      <c r="A56" s="29"/>
      <c r="B56" s="29"/>
      <c r="C56" s="29"/>
      <c r="D56" s="2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.75" customHeight="1">
      <c r="A57" s="93" t="s">
        <v>218</v>
      </c>
      <c r="B57" s="93"/>
      <c r="C57" s="93"/>
      <c r="D57" s="93"/>
      <c r="E57" s="87" t="s">
        <v>1</v>
      </c>
      <c r="F57" s="87"/>
      <c r="G57" s="88" t="s">
        <v>219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</row>
    <row r="58" spans="1:27" ht="15.75" customHeight="1">
      <c r="A58" s="89" t="s">
        <v>177</v>
      </c>
      <c r="B58" s="89"/>
      <c r="C58" s="89"/>
      <c r="D58" s="89"/>
      <c r="E58" s="87" t="s">
        <v>192</v>
      </c>
      <c r="F58" s="87"/>
      <c r="G58" s="88" t="s">
        <v>220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</row>
    <row r="59" spans="1:27" ht="15.75" customHeight="1">
      <c r="A59" s="93" t="s">
        <v>214</v>
      </c>
      <c r="B59" s="93"/>
      <c r="C59" s="93"/>
      <c r="D59" s="93"/>
      <c r="E59" s="87" t="s">
        <v>1</v>
      </c>
      <c r="F59" s="87"/>
      <c r="G59" s="88" t="s">
        <v>221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</row>
    <row r="60" spans="1:27" ht="15.75" customHeight="1">
      <c r="A60" s="94" t="s">
        <v>216</v>
      </c>
      <c r="B60" s="94"/>
      <c r="C60" s="94"/>
      <c r="D60" s="94"/>
      <c r="E60" s="87" t="s">
        <v>192</v>
      </c>
      <c r="F60" s="87"/>
      <c r="G60" s="88" t="s">
        <v>222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</row>
    <row r="61" spans="1:27" ht="15.75" customHeight="1">
      <c r="A61" s="29"/>
      <c r="B61" s="29"/>
      <c r="C61" s="29"/>
      <c r="D61" s="2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.75" customHeight="1">
      <c r="A62" s="30" t="s">
        <v>7</v>
      </c>
      <c r="B62" s="100" t="s">
        <v>19</v>
      </c>
      <c r="C62" s="100"/>
      <c r="D62" s="100"/>
      <c r="E62" s="100"/>
      <c r="F62" s="100"/>
      <c r="G62" s="100"/>
      <c r="H62" s="101" t="s">
        <v>5</v>
      </c>
      <c r="I62" s="101"/>
      <c r="J62" s="97" t="s">
        <v>223</v>
      </c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</row>
    <row r="63" spans="1:27" ht="15.75" customHeight="1">
      <c r="A63" s="31">
        <v>1</v>
      </c>
      <c r="B63" s="95" t="s">
        <v>224</v>
      </c>
      <c r="C63" s="95"/>
      <c r="D63" s="95"/>
      <c r="E63" s="95"/>
      <c r="F63" s="95"/>
      <c r="G63" s="95"/>
      <c r="H63" s="96" t="s">
        <v>98</v>
      </c>
      <c r="I63" s="96"/>
      <c r="J63" s="97" t="s">
        <v>225</v>
      </c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</row>
    <row r="64" spans="1:27" ht="15.75" customHeight="1">
      <c r="A64" s="31">
        <v>2</v>
      </c>
      <c r="B64" s="98" t="s">
        <v>177</v>
      </c>
      <c r="C64" s="98"/>
      <c r="D64" s="98"/>
      <c r="E64" s="98"/>
      <c r="F64" s="98"/>
      <c r="G64" s="98"/>
      <c r="H64" s="99" t="s">
        <v>192</v>
      </c>
      <c r="I64" s="99"/>
      <c r="J64" s="97" t="s">
        <v>226</v>
      </c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</row>
    <row r="65" spans="1:27" ht="15.75" customHeight="1">
      <c r="A65" s="31">
        <v>3</v>
      </c>
      <c r="B65" s="98" t="s">
        <v>175</v>
      </c>
      <c r="C65" s="98"/>
      <c r="D65" s="98"/>
      <c r="E65" s="98"/>
      <c r="F65" s="98"/>
      <c r="G65" s="98"/>
      <c r="H65" s="99" t="s">
        <v>39</v>
      </c>
      <c r="I65" s="99"/>
      <c r="J65" s="97" t="s">
        <v>227</v>
      </c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</row>
    <row r="66" spans="1:27" ht="15.75" customHeight="1">
      <c r="A66" s="31">
        <v>4</v>
      </c>
      <c r="B66" s="98" t="s">
        <v>173</v>
      </c>
      <c r="C66" s="98"/>
      <c r="D66" s="98"/>
      <c r="E66" s="98"/>
      <c r="F66" s="98"/>
      <c r="G66" s="98"/>
      <c r="H66" s="99" t="s">
        <v>39</v>
      </c>
      <c r="I66" s="99"/>
      <c r="J66" s="97" t="s">
        <v>228</v>
      </c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</row>
    <row r="67" spans="1:27" ht="15.75" customHeight="1">
      <c r="A67" s="31">
        <v>5</v>
      </c>
      <c r="B67" s="102" t="s">
        <v>229</v>
      </c>
      <c r="C67" s="102"/>
      <c r="D67" s="102"/>
      <c r="E67" s="102"/>
      <c r="F67" s="102"/>
      <c r="G67" s="102"/>
      <c r="H67" s="103" t="s">
        <v>134</v>
      </c>
      <c r="I67" s="103"/>
      <c r="J67" s="97" t="s">
        <v>230</v>
      </c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</row>
    <row r="68" spans="1:27" ht="15.75" customHeight="1">
      <c r="A68" s="31">
        <v>6</v>
      </c>
      <c r="B68" s="102" t="s">
        <v>231</v>
      </c>
      <c r="C68" s="102"/>
      <c r="D68" s="102"/>
      <c r="E68" s="102"/>
      <c r="F68" s="102"/>
      <c r="G68" s="102"/>
      <c r="H68" s="96" t="s">
        <v>2</v>
      </c>
      <c r="I68" s="96"/>
      <c r="J68" s="97" t="s">
        <v>232</v>
      </c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</row>
    <row r="69" spans="1:27" ht="15.75" customHeight="1">
      <c r="A69" s="31">
        <v>7</v>
      </c>
      <c r="B69" s="102" t="s">
        <v>233</v>
      </c>
      <c r="C69" s="102"/>
      <c r="D69" s="102"/>
      <c r="E69" s="102"/>
      <c r="F69" s="102"/>
      <c r="G69" s="102"/>
      <c r="H69" s="96" t="s">
        <v>2</v>
      </c>
      <c r="I69" s="96"/>
      <c r="J69" s="97" t="s">
        <v>234</v>
      </c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</row>
    <row r="70" spans="1:27" ht="15.75" customHeight="1">
      <c r="A70" s="31">
        <v>8</v>
      </c>
      <c r="B70" s="102" t="s">
        <v>169</v>
      </c>
      <c r="C70" s="102"/>
      <c r="D70" s="102"/>
      <c r="E70" s="102"/>
      <c r="F70" s="102"/>
      <c r="G70" s="102"/>
      <c r="H70" s="96" t="s">
        <v>1</v>
      </c>
      <c r="I70" s="96"/>
      <c r="J70" s="97" t="s">
        <v>235</v>
      </c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</row>
    <row r="71" spans="1:27" ht="15.75" customHeight="1">
      <c r="A71" s="31">
        <v>9</v>
      </c>
      <c r="B71" s="102" t="s">
        <v>236</v>
      </c>
      <c r="C71" s="102"/>
      <c r="D71" s="102"/>
      <c r="E71" s="102"/>
      <c r="F71" s="102"/>
      <c r="G71" s="102"/>
      <c r="H71" s="96" t="s">
        <v>1</v>
      </c>
      <c r="I71" s="96"/>
      <c r="J71" s="97" t="s">
        <v>237</v>
      </c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</row>
    <row r="72" spans="1:27" ht="15.75" customHeight="1">
      <c r="A72" s="31">
        <v>10</v>
      </c>
      <c r="B72" s="102" t="s">
        <v>238</v>
      </c>
      <c r="C72" s="102"/>
      <c r="D72" s="102"/>
      <c r="E72" s="102"/>
      <c r="F72" s="102"/>
      <c r="G72" s="102"/>
      <c r="H72" s="96" t="s">
        <v>24</v>
      </c>
      <c r="I72" s="96"/>
      <c r="J72" s="97" t="s">
        <v>239</v>
      </c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</row>
    <row r="73" spans="1:27" ht="15.75" customHeight="1">
      <c r="A73" s="31">
        <v>11</v>
      </c>
      <c r="B73" s="104" t="s">
        <v>240</v>
      </c>
      <c r="C73" s="104"/>
      <c r="D73" s="104"/>
      <c r="E73" s="104"/>
      <c r="F73" s="104"/>
      <c r="G73" s="104"/>
      <c r="H73" s="96" t="s">
        <v>4</v>
      </c>
      <c r="I73" s="96"/>
      <c r="J73" s="97" t="s">
        <v>241</v>
      </c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</row>
    <row r="74" spans="1:27" ht="15.75" customHeight="1">
      <c r="A74" s="29"/>
      <c r="B74" s="29"/>
      <c r="C74" s="29"/>
      <c r="D74" s="2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.75" customHeight="1">
      <c r="A75" s="30" t="s">
        <v>7</v>
      </c>
      <c r="B75" s="99" t="s">
        <v>19</v>
      </c>
      <c r="C75" s="99"/>
      <c r="D75" s="99"/>
      <c r="E75" s="99"/>
      <c r="F75" s="99"/>
      <c r="G75" s="99"/>
      <c r="H75" s="99" t="s">
        <v>5</v>
      </c>
      <c r="I75" s="99"/>
      <c r="J75" s="97" t="s">
        <v>242</v>
      </c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</row>
    <row r="76" spans="1:27" ht="15.75" customHeight="1">
      <c r="A76" s="32">
        <v>1</v>
      </c>
      <c r="B76" s="95" t="s">
        <v>115</v>
      </c>
      <c r="C76" s="95"/>
      <c r="D76" s="95"/>
      <c r="E76" s="95"/>
      <c r="F76" s="95"/>
      <c r="G76" s="95"/>
      <c r="H76" s="96" t="s">
        <v>98</v>
      </c>
      <c r="I76" s="96"/>
      <c r="J76" s="97" t="s">
        <v>243</v>
      </c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</row>
    <row r="77" spans="1:27" ht="15.75" customHeight="1">
      <c r="A77" s="31">
        <v>2</v>
      </c>
      <c r="B77" s="98" t="s">
        <v>177</v>
      </c>
      <c r="C77" s="98"/>
      <c r="D77" s="98"/>
      <c r="E77" s="98"/>
      <c r="F77" s="98"/>
      <c r="G77" s="98"/>
      <c r="H77" s="99" t="s">
        <v>192</v>
      </c>
      <c r="I77" s="99"/>
      <c r="J77" s="97" t="s">
        <v>244</v>
      </c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</row>
    <row r="78" spans="1:27" ht="15.75" customHeight="1">
      <c r="A78" s="32">
        <v>3</v>
      </c>
      <c r="B78" s="98" t="s">
        <v>175</v>
      </c>
      <c r="C78" s="98"/>
      <c r="D78" s="98"/>
      <c r="E78" s="98"/>
      <c r="F78" s="98"/>
      <c r="G78" s="98"/>
      <c r="H78" s="99" t="s">
        <v>39</v>
      </c>
      <c r="I78" s="99"/>
      <c r="J78" s="97" t="s">
        <v>245</v>
      </c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</row>
    <row r="79" spans="1:27" ht="15.75" customHeight="1">
      <c r="A79" s="31">
        <v>4</v>
      </c>
      <c r="B79" s="98" t="s">
        <v>173</v>
      </c>
      <c r="C79" s="98"/>
      <c r="D79" s="98"/>
      <c r="E79" s="98"/>
      <c r="F79" s="98"/>
      <c r="G79" s="98"/>
      <c r="H79" s="99" t="s">
        <v>39</v>
      </c>
      <c r="I79" s="99"/>
      <c r="J79" s="97" t="s">
        <v>246</v>
      </c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</row>
    <row r="80" spans="1:27" ht="15.75" customHeight="1">
      <c r="A80" s="32">
        <v>5</v>
      </c>
      <c r="B80" s="105" t="s">
        <v>168</v>
      </c>
      <c r="C80" s="105"/>
      <c r="D80" s="105"/>
      <c r="E80" s="105"/>
      <c r="F80" s="105"/>
      <c r="G80" s="105"/>
      <c r="H80" s="96" t="s">
        <v>39</v>
      </c>
      <c r="I80" s="96"/>
      <c r="J80" s="97" t="s">
        <v>247</v>
      </c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</row>
    <row r="81" spans="1:27" ht="15.75" customHeight="1">
      <c r="A81" s="31">
        <v>6</v>
      </c>
      <c r="B81" s="102" t="s">
        <v>248</v>
      </c>
      <c r="C81" s="102"/>
      <c r="D81" s="102"/>
      <c r="E81" s="102"/>
      <c r="F81" s="102"/>
      <c r="G81" s="102"/>
      <c r="H81" s="96" t="s">
        <v>103</v>
      </c>
      <c r="I81" s="96"/>
      <c r="J81" s="97" t="s">
        <v>249</v>
      </c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</row>
    <row r="82" spans="1:27" ht="15.75" customHeight="1">
      <c r="A82" s="32">
        <v>7</v>
      </c>
      <c r="B82" s="102" t="s">
        <v>250</v>
      </c>
      <c r="C82" s="102"/>
      <c r="D82" s="102"/>
      <c r="E82" s="102"/>
      <c r="F82" s="102"/>
      <c r="G82" s="102"/>
      <c r="H82" s="96" t="s">
        <v>2</v>
      </c>
      <c r="I82" s="96"/>
      <c r="J82" s="97" t="s">
        <v>251</v>
      </c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</row>
    <row r="83" spans="1:27" ht="15.75" customHeight="1">
      <c r="A83" s="31">
        <v>8</v>
      </c>
      <c r="B83" s="102" t="s">
        <v>252</v>
      </c>
      <c r="C83" s="102"/>
      <c r="D83" s="102"/>
      <c r="E83" s="102"/>
      <c r="F83" s="102"/>
      <c r="G83" s="102"/>
      <c r="H83" s="96" t="s">
        <v>2</v>
      </c>
      <c r="I83" s="96"/>
      <c r="J83" s="97" t="s">
        <v>253</v>
      </c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</row>
    <row r="84" spans="1:27" ht="15.75" customHeight="1">
      <c r="A84" s="32">
        <v>9</v>
      </c>
      <c r="B84" s="102" t="s">
        <v>166</v>
      </c>
      <c r="C84" s="102"/>
      <c r="D84" s="102"/>
      <c r="E84" s="102"/>
      <c r="F84" s="102"/>
      <c r="G84" s="102"/>
      <c r="H84" s="96" t="s">
        <v>1</v>
      </c>
      <c r="I84" s="96"/>
      <c r="J84" s="97" t="s">
        <v>254</v>
      </c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</row>
    <row r="85" spans="1:27" ht="15.75" customHeight="1">
      <c r="A85" s="31">
        <v>10</v>
      </c>
      <c r="B85" s="102" t="s">
        <v>255</v>
      </c>
      <c r="C85" s="102"/>
      <c r="D85" s="102"/>
      <c r="E85" s="102"/>
      <c r="F85" s="102"/>
      <c r="G85" s="102"/>
      <c r="H85" s="96" t="s">
        <v>24</v>
      </c>
      <c r="I85" s="96"/>
      <c r="J85" s="97" t="s">
        <v>256</v>
      </c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</row>
    <row r="86" spans="1:27" ht="15.75" customHeight="1">
      <c r="A86" s="32">
        <v>11</v>
      </c>
      <c r="B86" s="104" t="s">
        <v>257</v>
      </c>
      <c r="C86" s="104"/>
      <c r="D86" s="104"/>
      <c r="E86" s="104"/>
      <c r="F86" s="104"/>
      <c r="G86" s="104"/>
      <c r="H86" s="96" t="s">
        <v>258</v>
      </c>
      <c r="I86" s="96"/>
      <c r="J86" s="97" t="s">
        <v>259</v>
      </c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</row>
    <row r="87" spans="1:27" ht="15.75" customHeight="1">
      <c r="A87" s="29"/>
      <c r="B87" s="29"/>
      <c r="C87" s="29"/>
      <c r="D87" s="29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.75" customHeight="1">
      <c r="A88" s="29"/>
      <c r="B88" s="29"/>
      <c r="C88" s="29"/>
      <c r="D88" s="29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.75" customHeight="1">
      <c r="A89" s="30" t="s">
        <v>7</v>
      </c>
      <c r="B89" s="99" t="s">
        <v>19</v>
      </c>
      <c r="C89" s="99"/>
      <c r="D89" s="99"/>
      <c r="E89" s="99"/>
      <c r="F89" s="99"/>
      <c r="G89" s="99"/>
      <c r="H89" s="99" t="s">
        <v>5</v>
      </c>
      <c r="I89" s="99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</row>
    <row r="90" spans="1:27" ht="15.75" customHeight="1">
      <c r="A90" s="32">
        <v>4</v>
      </c>
      <c r="B90" s="102" t="s">
        <v>260</v>
      </c>
      <c r="C90" s="102"/>
      <c r="D90" s="102"/>
      <c r="E90" s="102"/>
      <c r="F90" s="102"/>
      <c r="G90" s="102"/>
      <c r="H90" s="96" t="s">
        <v>1</v>
      </c>
      <c r="I90" s="96"/>
      <c r="J90" s="97" t="s">
        <v>261</v>
      </c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</row>
    <row r="91" spans="1:27" ht="15.75" customHeight="1">
      <c r="A91" s="31">
        <v>5</v>
      </c>
      <c r="B91" s="102" t="s">
        <v>262</v>
      </c>
      <c r="C91" s="102"/>
      <c r="D91" s="102"/>
      <c r="E91" s="102"/>
      <c r="F91" s="102"/>
      <c r="G91" s="102"/>
      <c r="H91" s="96" t="s">
        <v>1</v>
      </c>
      <c r="I91" s="96"/>
      <c r="J91" s="97" t="s">
        <v>263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</row>
    <row r="92" spans="1:27" ht="15.75" customHeight="1">
      <c r="A92" s="32">
        <v>6</v>
      </c>
      <c r="B92" s="102" t="s">
        <v>264</v>
      </c>
      <c r="C92" s="102"/>
      <c r="D92" s="102"/>
      <c r="E92" s="102"/>
      <c r="F92" s="102"/>
      <c r="G92" s="102"/>
      <c r="H92" s="96" t="s">
        <v>1</v>
      </c>
      <c r="I92" s="96"/>
      <c r="J92" s="111" t="s">
        <v>265</v>
      </c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ht="15.75" customHeight="1">
      <c r="A93" s="31"/>
      <c r="B93" s="102" t="s">
        <v>266</v>
      </c>
      <c r="C93" s="102"/>
      <c r="D93" s="102"/>
      <c r="E93" s="102"/>
      <c r="F93" s="102"/>
      <c r="G93" s="102"/>
      <c r="H93" s="96" t="s">
        <v>1</v>
      </c>
      <c r="I93" s="96"/>
      <c r="J93" s="97" t="s">
        <v>267</v>
      </c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</row>
    <row r="94" spans="1:27" ht="15.75" customHeight="1">
      <c r="A94" s="29"/>
      <c r="B94" s="29"/>
      <c r="C94" s="29"/>
      <c r="D94" s="29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.75" customHeight="1">
      <c r="A95" s="29"/>
      <c r="B95" s="29"/>
      <c r="C95" s="29"/>
      <c r="D95" s="29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.75" customHeight="1">
      <c r="A96" s="29"/>
      <c r="B96" s="29"/>
      <c r="C96" s="29"/>
      <c r="D96" s="29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.75" customHeight="1">
      <c r="A97" s="29"/>
      <c r="B97" s="29"/>
      <c r="C97" s="29"/>
      <c r="D97" s="2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.75" customHeight="1">
      <c r="A98" s="29"/>
      <c r="B98" s="29"/>
      <c r="C98" s="29"/>
      <c r="D98" s="29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.75" customHeight="1">
      <c r="A99" s="15" t="s">
        <v>7</v>
      </c>
      <c r="B99" s="106" t="s">
        <v>19</v>
      </c>
      <c r="C99" s="106"/>
      <c r="D99" s="106"/>
      <c r="E99" s="106"/>
      <c r="F99" s="106"/>
      <c r="G99" s="106"/>
      <c r="H99" s="106" t="s">
        <v>5</v>
      </c>
      <c r="I99" s="106"/>
      <c r="J99" s="107" t="s">
        <v>268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</row>
    <row r="100" spans="1:27" ht="15.75" customHeight="1">
      <c r="A100" s="13">
        <v>1</v>
      </c>
      <c r="B100" s="108" t="s">
        <v>81</v>
      </c>
      <c r="C100" s="108"/>
      <c r="D100" s="108"/>
      <c r="E100" s="108"/>
      <c r="F100" s="108"/>
      <c r="G100" s="108"/>
      <c r="H100" s="109" t="s">
        <v>1</v>
      </c>
      <c r="I100" s="109"/>
      <c r="J100" s="110" t="s">
        <v>269</v>
      </c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</row>
    <row r="101" spans="1:27" ht="15.75" customHeight="1">
      <c r="A101" s="13">
        <v>2</v>
      </c>
      <c r="B101" s="112" t="s">
        <v>80</v>
      </c>
      <c r="C101" s="112"/>
      <c r="D101" s="112"/>
      <c r="E101" s="112">
        <f>IF(E105&gt;0,CHOOSE($AS$1,"ДВГ-1","ГТ-1"),0)</f>
        <v>0</v>
      </c>
      <c r="F101" s="112"/>
      <c r="G101" s="112"/>
      <c r="H101" s="109" t="s">
        <v>1</v>
      </c>
      <c r="I101" s="109"/>
      <c r="J101" s="113" t="s">
        <v>270</v>
      </c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</row>
    <row r="102" spans="1:27" ht="15.75" customHeight="1">
      <c r="A102" s="13">
        <v>3</v>
      </c>
      <c r="B102" s="112" t="s">
        <v>79</v>
      </c>
      <c r="C102" s="112"/>
      <c r="D102" s="112"/>
      <c r="E102" s="112"/>
      <c r="F102" s="112"/>
      <c r="G102" s="112"/>
      <c r="H102" s="109" t="s">
        <v>1</v>
      </c>
      <c r="I102" s="109"/>
      <c r="J102" s="113" t="s">
        <v>271</v>
      </c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</row>
    <row r="103" spans="1:27" ht="15.75" customHeight="1">
      <c r="A103" s="13">
        <v>4</v>
      </c>
      <c r="B103" s="112" t="s">
        <v>78</v>
      </c>
      <c r="C103" s="112"/>
      <c r="D103" s="112"/>
      <c r="E103" s="112"/>
      <c r="F103" s="112"/>
      <c r="G103" s="112"/>
      <c r="H103" s="109" t="s">
        <v>1</v>
      </c>
      <c r="I103" s="109"/>
      <c r="J103" s="113" t="s">
        <v>272</v>
      </c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</row>
    <row r="104" spans="1:27" ht="15.75" customHeight="1">
      <c r="A104" s="13">
        <v>5</v>
      </c>
      <c r="B104" s="112" t="s">
        <v>77</v>
      </c>
      <c r="C104" s="112"/>
      <c r="D104" s="112"/>
      <c r="E104" s="112"/>
      <c r="F104" s="112"/>
      <c r="G104" s="112"/>
      <c r="H104" s="109" t="s">
        <v>1</v>
      </c>
      <c r="I104" s="109"/>
      <c r="J104" s="110" t="s">
        <v>273</v>
      </c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</row>
    <row r="105" spans="1:27" ht="15.75" customHeight="1">
      <c r="A105" s="13">
        <v>6</v>
      </c>
      <c r="B105" s="112" t="s">
        <v>76</v>
      </c>
      <c r="C105" s="112"/>
      <c r="D105" s="112"/>
      <c r="E105" s="112"/>
      <c r="F105" s="112"/>
      <c r="G105" s="112"/>
      <c r="H105" s="109" t="s">
        <v>1</v>
      </c>
      <c r="I105" s="109"/>
      <c r="J105" s="110" t="s">
        <v>274</v>
      </c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</row>
    <row r="106" spans="1:27" ht="15.75" customHeight="1">
      <c r="A106" s="13">
        <v>7</v>
      </c>
      <c r="B106" s="116" t="s">
        <v>75</v>
      </c>
      <c r="C106" s="116"/>
      <c r="D106" s="116"/>
      <c r="E106" s="116"/>
      <c r="F106" s="116"/>
      <c r="G106" s="116"/>
      <c r="H106" s="109" t="s">
        <v>1</v>
      </c>
      <c r="I106" s="109"/>
      <c r="J106" s="113" t="s">
        <v>275</v>
      </c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</row>
    <row r="107" spans="1:27" ht="15.75" customHeight="1">
      <c r="A107" s="13">
        <v>8</v>
      </c>
      <c r="B107" s="112" t="s">
        <v>74</v>
      </c>
      <c r="C107" s="112"/>
      <c r="D107" s="112"/>
      <c r="E107" s="112"/>
      <c r="F107" s="112"/>
      <c r="G107" s="112"/>
      <c r="H107" s="109" t="s">
        <v>1</v>
      </c>
      <c r="I107" s="109"/>
      <c r="J107" s="110" t="s">
        <v>276</v>
      </c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</row>
    <row r="108" spans="1:27" ht="15.75" customHeight="1">
      <c r="A108" s="13">
        <v>9</v>
      </c>
      <c r="B108" s="114" t="s">
        <v>73</v>
      </c>
      <c r="C108" s="114"/>
      <c r="D108" s="114"/>
      <c r="E108" s="114"/>
      <c r="F108" s="114"/>
      <c r="G108" s="114"/>
      <c r="H108" s="109" t="s">
        <v>1</v>
      </c>
      <c r="I108" s="109"/>
      <c r="J108" s="115" t="s">
        <v>277</v>
      </c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ht="15.75" customHeight="1">
      <c r="A109" s="13">
        <v>10</v>
      </c>
      <c r="B109" s="112" t="s">
        <v>72</v>
      </c>
      <c r="C109" s="112"/>
      <c r="D109" s="112"/>
      <c r="E109" s="112">
        <f>IF(E113&gt;0,CHOOSE($AS$1,"ДВГ-1","ГТ-1"),0)</f>
        <v>0</v>
      </c>
      <c r="F109" s="112"/>
      <c r="G109" s="112"/>
      <c r="H109" s="109" t="s">
        <v>1</v>
      </c>
      <c r="I109" s="109"/>
      <c r="J109" s="110" t="s">
        <v>278</v>
      </c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</row>
    <row r="110" spans="1:27" ht="15.75" customHeight="1">
      <c r="A110" s="13">
        <v>11</v>
      </c>
      <c r="B110" s="117" t="s">
        <v>71</v>
      </c>
      <c r="C110" s="117"/>
      <c r="D110" s="117"/>
      <c r="E110" s="117"/>
      <c r="F110" s="117"/>
      <c r="G110" s="117"/>
      <c r="H110" s="109" t="s">
        <v>24</v>
      </c>
      <c r="I110" s="109"/>
      <c r="J110" s="110" t="s">
        <v>279</v>
      </c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</row>
    <row r="111" spans="1:27" ht="15.75" customHeight="1">
      <c r="A111" s="13">
        <v>12</v>
      </c>
      <c r="B111" s="117" t="s">
        <v>70</v>
      </c>
      <c r="C111" s="117"/>
      <c r="D111" s="117"/>
      <c r="E111" s="117"/>
      <c r="F111" s="117"/>
      <c r="G111" s="117"/>
      <c r="H111" s="109" t="s">
        <v>24</v>
      </c>
      <c r="I111" s="109"/>
      <c r="J111" s="113" t="s">
        <v>280</v>
      </c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</row>
    <row r="112" spans="1:27" ht="15.75" customHeight="1">
      <c r="A112" s="13">
        <v>13</v>
      </c>
      <c r="B112" s="112" t="s">
        <v>52</v>
      </c>
      <c r="C112" s="112"/>
      <c r="D112" s="112"/>
      <c r="E112" s="112"/>
      <c r="F112" s="112"/>
      <c r="G112" s="112"/>
      <c r="H112" s="109" t="s">
        <v>24</v>
      </c>
      <c r="I112" s="109"/>
      <c r="J112" s="110" t="s">
        <v>281</v>
      </c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</row>
    <row r="113" spans="1:256" ht="15.7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15.75" customHeight="1">
      <c r="A114" s="15" t="s">
        <v>7</v>
      </c>
      <c r="B114" s="106" t="s">
        <v>19</v>
      </c>
      <c r="C114" s="106"/>
      <c r="D114" s="106"/>
      <c r="E114" s="106"/>
      <c r="F114" s="106"/>
      <c r="G114" s="106"/>
      <c r="H114" s="109" t="s">
        <v>5</v>
      </c>
      <c r="I114" s="109"/>
      <c r="J114" s="107" t="s">
        <v>268</v>
      </c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</row>
    <row r="115" spans="1:256" ht="15.75" customHeight="1">
      <c r="A115" s="13">
        <v>14</v>
      </c>
      <c r="B115" s="108" t="s">
        <v>68</v>
      </c>
      <c r="C115" s="108"/>
      <c r="D115" s="108"/>
      <c r="E115" s="108"/>
      <c r="F115" s="108"/>
      <c r="G115" s="108"/>
      <c r="H115" s="109" t="s">
        <v>1</v>
      </c>
      <c r="I115" s="109"/>
      <c r="J115" s="110" t="s">
        <v>282</v>
      </c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</row>
    <row r="116" spans="1:256" ht="15.75" customHeight="1">
      <c r="A116" s="13">
        <v>15</v>
      </c>
      <c r="B116" s="108" t="s">
        <v>67</v>
      </c>
      <c r="C116" s="108"/>
      <c r="D116" s="108"/>
      <c r="E116" s="108"/>
      <c r="F116" s="108"/>
      <c r="G116" s="108"/>
      <c r="H116" s="109" t="s">
        <v>1</v>
      </c>
      <c r="I116" s="109"/>
      <c r="J116" s="110" t="s">
        <v>283</v>
      </c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</row>
    <row r="117" spans="1:256" ht="15.75" customHeight="1">
      <c r="A117" s="13">
        <v>16</v>
      </c>
      <c r="B117" s="108" t="s">
        <v>66</v>
      </c>
      <c r="C117" s="108"/>
      <c r="D117" s="108"/>
      <c r="E117" s="108"/>
      <c r="F117" s="108"/>
      <c r="G117" s="108"/>
      <c r="H117" s="109" t="s">
        <v>1</v>
      </c>
      <c r="I117" s="109"/>
      <c r="J117" s="110" t="s">
        <v>284</v>
      </c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</row>
    <row r="118" spans="1:256" ht="15.75" customHeight="1">
      <c r="A118" s="13">
        <v>17</v>
      </c>
      <c r="B118" s="112" t="s">
        <v>65</v>
      </c>
      <c r="C118" s="112"/>
      <c r="D118" s="112"/>
      <c r="E118" s="112"/>
      <c r="F118" s="112"/>
      <c r="G118" s="112"/>
      <c r="H118" s="109" t="s">
        <v>24</v>
      </c>
      <c r="I118" s="109"/>
      <c r="J118" s="115" t="s">
        <v>285</v>
      </c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56" ht="15.75" customHeight="1">
      <c r="A119" s="13">
        <v>18</v>
      </c>
      <c r="B119" s="108" t="s">
        <v>64</v>
      </c>
      <c r="C119" s="108"/>
      <c r="D119" s="108"/>
      <c r="E119" s="108"/>
      <c r="F119" s="108"/>
      <c r="G119" s="108"/>
      <c r="H119" s="109" t="s">
        <v>47</v>
      </c>
      <c r="I119" s="109"/>
      <c r="J119" s="110" t="s">
        <v>286</v>
      </c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</row>
    <row r="120" spans="1:256" ht="15.75" customHeight="1">
      <c r="A120" s="13">
        <v>19</v>
      </c>
      <c r="B120" s="118" t="s">
        <v>63</v>
      </c>
      <c r="C120" s="118"/>
      <c r="D120" s="118"/>
      <c r="E120" s="118"/>
      <c r="F120" s="118"/>
      <c r="G120" s="118"/>
      <c r="H120" s="109" t="s">
        <v>1</v>
      </c>
      <c r="I120" s="109"/>
      <c r="J120" s="110" t="s">
        <v>287</v>
      </c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</row>
    <row r="121" spans="1:256" ht="15.75" customHeight="1">
      <c r="A121" s="13">
        <v>20</v>
      </c>
      <c r="B121" s="118" t="s">
        <v>62</v>
      </c>
      <c r="C121" s="118"/>
      <c r="D121" s="118"/>
      <c r="E121" s="118"/>
      <c r="F121" s="118"/>
      <c r="G121" s="118"/>
      <c r="H121" s="109" t="s">
        <v>1</v>
      </c>
      <c r="I121" s="109"/>
      <c r="J121" s="110" t="s">
        <v>288</v>
      </c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</row>
    <row r="122" spans="1:256" ht="15.75" customHeight="1">
      <c r="A122" s="13">
        <v>21</v>
      </c>
      <c r="B122" s="112" t="s">
        <v>61</v>
      </c>
      <c r="C122" s="112"/>
      <c r="D122" s="112"/>
      <c r="E122" s="112"/>
      <c r="F122" s="112"/>
      <c r="G122" s="112"/>
      <c r="H122" s="109" t="s">
        <v>1</v>
      </c>
      <c r="I122" s="109"/>
      <c r="J122" s="110" t="s">
        <v>289</v>
      </c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</row>
    <row r="123" spans="1:256" ht="15.75" customHeight="1">
      <c r="A123" s="13">
        <v>22</v>
      </c>
      <c r="B123" s="119" t="s">
        <v>60</v>
      </c>
      <c r="C123" s="119"/>
      <c r="D123" s="119"/>
      <c r="E123" s="119"/>
      <c r="F123" s="119"/>
      <c r="G123" s="119"/>
      <c r="H123" s="109" t="s">
        <v>1</v>
      </c>
      <c r="I123" s="109"/>
      <c r="J123" s="110" t="s">
        <v>290</v>
      </c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</row>
    <row r="124" spans="1:256" ht="15.75" customHeight="1">
      <c r="A124" s="31">
        <v>23</v>
      </c>
      <c r="B124" s="102" t="s">
        <v>59</v>
      </c>
      <c r="C124" s="102"/>
      <c r="D124" s="102"/>
      <c r="E124" s="102"/>
      <c r="F124" s="102"/>
      <c r="G124" s="102"/>
      <c r="H124" s="99" t="s">
        <v>24</v>
      </c>
      <c r="I124" s="99"/>
      <c r="J124" s="110" t="s">
        <v>291</v>
      </c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</row>
    <row r="125" spans="1:256" ht="15.75" customHeight="1">
      <c r="A125" s="31">
        <v>24</v>
      </c>
      <c r="B125" s="102" t="s">
        <v>58</v>
      </c>
      <c r="C125" s="102"/>
      <c r="D125" s="102"/>
      <c r="E125" s="102"/>
      <c r="F125" s="102"/>
      <c r="G125" s="102"/>
      <c r="H125" s="99" t="s">
        <v>24</v>
      </c>
      <c r="I125" s="99"/>
      <c r="J125" s="110" t="s">
        <v>292</v>
      </c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</row>
    <row r="126" spans="1:256" ht="15.75" customHeight="1">
      <c r="A126" s="31">
        <v>25</v>
      </c>
      <c r="B126" s="102" t="s">
        <v>293</v>
      </c>
      <c r="C126" s="102"/>
      <c r="D126" s="102"/>
      <c r="E126" s="102"/>
      <c r="F126" s="102"/>
      <c r="G126" s="102"/>
      <c r="H126" s="99" t="s">
        <v>24</v>
      </c>
      <c r="I126" s="99"/>
      <c r="J126" s="122" t="s">
        <v>294</v>
      </c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</row>
    <row r="127" spans="1:256" ht="15.75" customHeight="1">
      <c r="A127" s="31">
        <v>26</v>
      </c>
      <c r="B127" s="102" t="s">
        <v>295</v>
      </c>
      <c r="C127" s="102"/>
      <c r="D127" s="102"/>
      <c r="E127" s="102"/>
      <c r="F127" s="102"/>
      <c r="G127" s="102"/>
      <c r="H127" s="99" t="s">
        <v>24</v>
      </c>
      <c r="I127" s="99"/>
      <c r="J127" s="122" t="s">
        <v>296</v>
      </c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</row>
    <row r="128" spans="1:256" ht="15.75" customHeight="1">
      <c r="A128" s="31">
        <v>27</v>
      </c>
      <c r="B128" s="120" t="s">
        <v>44</v>
      </c>
      <c r="C128" s="120"/>
      <c r="D128" s="120"/>
      <c r="E128" s="120"/>
      <c r="F128" s="120"/>
      <c r="G128" s="120"/>
      <c r="H128" s="106" t="s">
        <v>24</v>
      </c>
      <c r="I128" s="106"/>
      <c r="J128" s="110" t="s">
        <v>297</v>
      </c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</row>
    <row r="129" spans="1:27" ht="15.75" customHeight="1"/>
    <row r="130" spans="1:27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>
      <c r="A131" s="10"/>
      <c r="B131" s="121" t="s">
        <v>52</v>
      </c>
      <c r="C131" s="121"/>
      <c r="D131" s="121"/>
      <c r="E131" s="121"/>
      <c r="F131" s="121"/>
      <c r="G131" s="121"/>
      <c r="H131" s="106" t="s">
        <v>24</v>
      </c>
      <c r="I131" s="106"/>
      <c r="J131" s="110" t="s">
        <v>281</v>
      </c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</row>
    <row r="132" spans="1:27" ht="15.75" customHeight="1">
      <c r="A132" s="10"/>
      <c r="B132" s="120" t="s">
        <v>298</v>
      </c>
      <c r="C132" s="120"/>
      <c r="D132" s="120"/>
      <c r="E132" s="120"/>
      <c r="F132" s="120"/>
      <c r="G132" s="120"/>
      <c r="H132" s="106" t="s">
        <v>24</v>
      </c>
      <c r="I132" s="106"/>
      <c r="J132" s="110" t="s">
        <v>279</v>
      </c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</row>
    <row r="133" spans="1:27" ht="15.75" customHeight="1">
      <c r="A133" s="10"/>
      <c r="B133" s="121" t="s">
        <v>299</v>
      </c>
      <c r="C133" s="121"/>
      <c r="D133" s="121"/>
      <c r="E133" s="121"/>
      <c r="F133" s="121"/>
      <c r="G133" s="121"/>
      <c r="H133" s="106" t="s">
        <v>24</v>
      </c>
      <c r="I133" s="106"/>
      <c r="J133" s="115" t="s">
        <v>300</v>
      </c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</row>
    <row r="134" spans="1:27" ht="15.75" customHeight="1">
      <c r="A134" s="10"/>
      <c r="B134" s="120" t="s">
        <v>46</v>
      </c>
      <c r="C134" s="120"/>
      <c r="D134" s="120"/>
      <c r="E134" s="120"/>
      <c r="F134" s="120"/>
      <c r="G134" s="120"/>
      <c r="H134" s="106" t="s">
        <v>24</v>
      </c>
      <c r="I134" s="106"/>
      <c r="J134" s="110" t="s">
        <v>301</v>
      </c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</row>
    <row r="135" spans="1:27" ht="15.75" customHeight="1"/>
    <row r="136" spans="1:27" ht="15.75" customHeight="1"/>
    <row r="137" spans="1:27" ht="15.75" customHeight="1"/>
    <row r="138" spans="1:27" ht="15.75" customHeight="1"/>
    <row r="139" spans="1:27" ht="15.75" customHeight="1"/>
    <row r="140" spans="1:27" ht="15.75" customHeight="1"/>
    <row r="141" spans="1:27" ht="15.75" customHeight="1"/>
    <row r="142" spans="1:27" ht="15.75" customHeight="1"/>
    <row r="143" spans="1:27" ht="15.75" customHeight="1"/>
    <row r="144" spans="1:27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75" ht="15.75" customHeight="1"/>
    <row r="176" ht="15.75" customHeight="1"/>
    <row r="177" ht="15.75" customHeight="1"/>
    <row r="178" ht="15.75" customHeight="1"/>
  </sheetData>
  <mergeCells count="304">
    <mergeCell ref="B134:G134"/>
    <mergeCell ref="H134:I134"/>
    <mergeCell ref="J134:AA134"/>
    <mergeCell ref="B132:G132"/>
    <mergeCell ref="H132:I132"/>
    <mergeCell ref="J132:AA132"/>
    <mergeCell ref="B133:G133"/>
    <mergeCell ref="H133:I133"/>
    <mergeCell ref="J133:AA133"/>
    <mergeCell ref="B128:G128"/>
    <mergeCell ref="H128:I128"/>
    <mergeCell ref="J128:AA128"/>
    <mergeCell ref="B131:G131"/>
    <mergeCell ref="H131:I131"/>
    <mergeCell ref="J131:AA131"/>
    <mergeCell ref="B126:G126"/>
    <mergeCell ref="H126:I126"/>
    <mergeCell ref="J126:AA126"/>
    <mergeCell ref="B127:G127"/>
    <mergeCell ref="H127:I127"/>
    <mergeCell ref="J127:AA127"/>
    <mergeCell ref="B124:G124"/>
    <mergeCell ref="H124:I124"/>
    <mergeCell ref="J124:AA124"/>
    <mergeCell ref="B125:G125"/>
    <mergeCell ref="H125:I125"/>
    <mergeCell ref="J125:AA125"/>
    <mergeCell ref="B122:G122"/>
    <mergeCell ref="H122:I122"/>
    <mergeCell ref="J122:AA122"/>
    <mergeCell ref="B123:G123"/>
    <mergeCell ref="H123:I123"/>
    <mergeCell ref="J123:AA123"/>
    <mergeCell ref="B120:G120"/>
    <mergeCell ref="H120:I120"/>
    <mergeCell ref="J120:AA120"/>
    <mergeCell ref="B121:G121"/>
    <mergeCell ref="H121:I121"/>
    <mergeCell ref="J121:AA121"/>
    <mergeCell ref="B118:G118"/>
    <mergeCell ref="H118:I118"/>
    <mergeCell ref="J118:AA118"/>
    <mergeCell ref="B119:G119"/>
    <mergeCell ref="H119:I119"/>
    <mergeCell ref="J119:AA119"/>
    <mergeCell ref="B116:G116"/>
    <mergeCell ref="H116:I116"/>
    <mergeCell ref="J116:AA116"/>
    <mergeCell ref="B117:G117"/>
    <mergeCell ref="H117:I117"/>
    <mergeCell ref="J117:AA117"/>
    <mergeCell ref="B114:G114"/>
    <mergeCell ref="H114:I114"/>
    <mergeCell ref="J114:AA114"/>
    <mergeCell ref="B115:G115"/>
    <mergeCell ref="H115:I115"/>
    <mergeCell ref="J115:AA115"/>
    <mergeCell ref="B111:G111"/>
    <mergeCell ref="H111:I111"/>
    <mergeCell ref="J111:AA111"/>
    <mergeCell ref="B112:G112"/>
    <mergeCell ref="H112:I112"/>
    <mergeCell ref="J112:AA112"/>
    <mergeCell ref="B109:G109"/>
    <mergeCell ref="H109:I109"/>
    <mergeCell ref="J109:AA109"/>
    <mergeCell ref="B110:G110"/>
    <mergeCell ref="H110:I110"/>
    <mergeCell ref="J110:AA110"/>
    <mergeCell ref="B107:G107"/>
    <mergeCell ref="H107:I107"/>
    <mergeCell ref="J107:AA107"/>
    <mergeCell ref="B108:G108"/>
    <mergeCell ref="H108:I108"/>
    <mergeCell ref="J108:AA108"/>
    <mergeCell ref="B105:G105"/>
    <mergeCell ref="H105:I105"/>
    <mergeCell ref="J105:AA105"/>
    <mergeCell ref="B106:G106"/>
    <mergeCell ref="H106:I106"/>
    <mergeCell ref="J106:AA106"/>
    <mergeCell ref="B103:G103"/>
    <mergeCell ref="H103:I103"/>
    <mergeCell ref="J103:AA103"/>
    <mergeCell ref="B104:G104"/>
    <mergeCell ref="H104:I104"/>
    <mergeCell ref="J104:AA104"/>
    <mergeCell ref="B101:G101"/>
    <mergeCell ref="H101:I101"/>
    <mergeCell ref="J101:AA101"/>
    <mergeCell ref="B102:G102"/>
    <mergeCell ref="H102:I102"/>
    <mergeCell ref="J102:AA102"/>
    <mergeCell ref="B99:G99"/>
    <mergeCell ref="H99:I99"/>
    <mergeCell ref="J99:AA99"/>
    <mergeCell ref="B100:G100"/>
    <mergeCell ref="H100:I100"/>
    <mergeCell ref="J100:AA100"/>
    <mergeCell ref="B92:G92"/>
    <mergeCell ref="H92:I92"/>
    <mergeCell ref="J92:AA92"/>
    <mergeCell ref="B93:G93"/>
    <mergeCell ref="H93:I93"/>
    <mergeCell ref="J93:AA93"/>
    <mergeCell ref="B90:G90"/>
    <mergeCell ref="H90:I90"/>
    <mergeCell ref="J90:AA90"/>
    <mergeCell ref="B91:G91"/>
    <mergeCell ref="H91:I91"/>
    <mergeCell ref="J91:AA91"/>
    <mergeCell ref="B86:G86"/>
    <mergeCell ref="H86:I86"/>
    <mergeCell ref="J86:AA86"/>
    <mergeCell ref="B89:G89"/>
    <mergeCell ref="H89:I89"/>
    <mergeCell ref="J89:AA89"/>
    <mergeCell ref="B84:G84"/>
    <mergeCell ref="H84:I84"/>
    <mergeCell ref="J84:AA84"/>
    <mergeCell ref="B85:G85"/>
    <mergeCell ref="H85:I85"/>
    <mergeCell ref="J85:AA85"/>
    <mergeCell ref="B82:G82"/>
    <mergeCell ref="H82:I82"/>
    <mergeCell ref="J82:AA82"/>
    <mergeCell ref="B83:G83"/>
    <mergeCell ref="H83:I83"/>
    <mergeCell ref="J83:AA83"/>
    <mergeCell ref="B80:G80"/>
    <mergeCell ref="H80:I80"/>
    <mergeCell ref="J80:AA80"/>
    <mergeCell ref="B81:G81"/>
    <mergeCell ref="H81:I81"/>
    <mergeCell ref="J81:AA81"/>
    <mergeCell ref="B78:G78"/>
    <mergeCell ref="H78:I78"/>
    <mergeCell ref="J78:AA78"/>
    <mergeCell ref="B79:G79"/>
    <mergeCell ref="H79:I79"/>
    <mergeCell ref="J79:AA79"/>
    <mergeCell ref="B76:G76"/>
    <mergeCell ref="H76:I76"/>
    <mergeCell ref="J76:AA76"/>
    <mergeCell ref="B77:G77"/>
    <mergeCell ref="H77:I77"/>
    <mergeCell ref="J77:AA77"/>
    <mergeCell ref="B73:G73"/>
    <mergeCell ref="H73:I73"/>
    <mergeCell ref="J73:AA73"/>
    <mergeCell ref="B75:G75"/>
    <mergeCell ref="H75:I75"/>
    <mergeCell ref="J75:AA75"/>
    <mergeCell ref="B71:G71"/>
    <mergeCell ref="H71:I71"/>
    <mergeCell ref="J71:AA71"/>
    <mergeCell ref="B72:G72"/>
    <mergeCell ref="H72:I72"/>
    <mergeCell ref="J72:AA72"/>
    <mergeCell ref="B69:G69"/>
    <mergeCell ref="H69:I69"/>
    <mergeCell ref="J69:AA69"/>
    <mergeCell ref="B70:G70"/>
    <mergeCell ref="H70:I70"/>
    <mergeCell ref="J70:AA70"/>
    <mergeCell ref="B67:G67"/>
    <mergeCell ref="H67:I67"/>
    <mergeCell ref="J67:AA67"/>
    <mergeCell ref="B68:G68"/>
    <mergeCell ref="H68:I68"/>
    <mergeCell ref="J68:AA68"/>
    <mergeCell ref="B65:G65"/>
    <mergeCell ref="H65:I65"/>
    <mergeCell ref="J65:AA65"/>
    <mergeCell ref="B66:G66"/>
    <mergeCell ref="H66:I66"/>
    <mergeCell ref="J66:AA66"/>
    <mergeCell ref="B63:G63"/>
    <mergeCell ref="H63:I63"/>
    <mergeCell ref="J63:AA63"/>
    <mergeCell ref="B64:G64"/>
    <mergeCell ref="H64:I64"/>
    <mergeCell ref="J64:AA64"/>
    <mergeCell ref="A60:D60"/>
    <mergeCell ref="E60:F60"/>
    <mergeCell ref="G60:AA60"/>
    <mergeCell ref="B62:G62"/>
    <mergeCell ref="H62:I62"/>
    <mergeCell ref="J62:AA62"/>
    <mergeCell ref="A58:D58"/>
    <mergeCell ref="E58:F58"/>
    <mergeCell ref="G58:AA58"/>
    <mergeCell ref="A59:D59"/>
    <mergeCell ref="E59:F59"/>
    <mergeCell ref="G59:AA59"/>
    <mergeCell ref="A55:D55"/>
    <mergeCell ref="E55:F55"/>
    <mergeCell ref="G55:AA55"/>
    <mergeCell ref="A57:D57"/>
    <mergeCell ref="E57:F57"/>
    <mergeCell ref="G57:AA57"/>
    <mergeCell ref="A53:D53"/>
    <mergeCell ref="E53:F53"/>
    <mergeCell ref="G53:AA53"/>
    <mergeCell ref="A54:D54"/>
    <mergeCell ref="E54:F54"/>
    <mergeCell ref="G54:AA54"/>
    <mergeCell ref="A45:D45"/>
    <mergeCell ref="E45:F45"/>
    <mergeCell ref="G45:AA45"/>
    <mergeCell ref="A52:D52"/>
    <mergeCell ref="E52:F52"/>
    <mergeCell ref="G52:AA52"/>
    <mergeCell ref="A43:D43"/>
    <mergeCell ref="E43:F43"/>
    <mergeCell ref="G43:AA43"/>
    <mergeCell ref="A44:D44"/>
    <mergeCell ref="E44:F44"/>
    <mergeCell ref="G44:AA44"/>
    <mergeCell ref="A41:D41"/>
    <mergeCell ref="E41:F41"/>
    <mergeCell ref="G41:AA41"/>
    <mergeCell ref="A42:D42"/>
    <mergeCell ref="E42:F42"/>
    <mergeCell ref="G42:AA42"/>
    <mergeCell ref="A38:D38"/>
    <mergeCell ref="E38:F38"/>
    <mergeCell ref="G38:AA38"/>
    <mergeCell ref="A39:D39"/>
    <mergeCell ref="E39:F39"/>
    <mergeCell ref="G39:AA39"/>
    <mergeCell ref="A36:D36"/>
    <mergeCell ref="E36:F36"/>
    <mergeCell ref="G36:AA36"/>
    <mergeCell ref="A37:D37"/>
    <mergeCell ref="E37:F37"/>
    <mergeCell ref="G37:AA37"/>
    <mergeCell ref="A33:D33"/>
    <mergeCell ref="E33:F33"/>
    <mergeCell ref="G33:AA33"/>
    <mergeCell ref="A35:D35"/>
    <mergeCell ref="E35:F35"/>
    <mergeCell ref="G35:AA35"/>
    <mergeCell ref="A31:D31"/>
    <mergeCell ref="E31:F31"/>
    <mergeCell ref="G31:AA31"/>
    <mergeCell ref="A32:D32"/>
    <mergeCell ref="E32:F32"/>
    <mergeCell ref="G32:AA32"/>
    <mergeCell ref="A29:D29"/>
    <mergeCell ref="E29:F29"/>
    <mergeCell ref="G29:AA29"/>
    <mergeCell ref="A30:D30"/>
    <mergeCell ref="E30:F30"/>
    <mergeCell ref="G30:AA30"/>
    <mergeCell ref="A26:D26"/>
    <mergeCell ref="E26:F26"/>
    <mergeCell ref="G26:AA26"/>
    <mergeCell ref="A27:D27"/>
    <mergeCell ref="E27:F27"/>
    <mergeCell ref="G27:AA27"/>
    <mergeCell ref="A24:D24"/>
    <mergeCell ref="E24:F24"/>
    <mergeCell ref="G24:AA24"/>
    <mergeCell ref="A25:D25"/>
    <mergeCell ref="E25:F25"/>
    <mergeCell ref="G25:AA25"/>
    <mergeCell ref="A21:D21"/>
    <mergeCell ref="E21:F21"/>
    <mergeCell ref="G21:AA21"/>
    <mergeCell ref="A23:D23"/>
    <mergeCell ref="E23:F23"/>
    <mergeCell ref="G23:AA23"/>
    <mergeCell ref="A19:D19"/>
    <mergeCell ref="E19:F19"/>
    <mergeCell ref="G19:AA19"/>
    <mergeCell ref="A20:D20"/>
    <mergeCell ref="E20:F20"/>
    <mergeCell ref="G20:AA20"/>
    <mergeCell ref="A16:D16"/>
    <mergeCell ref="E16:F16"/>
    <mergeCell ref="G16:AA16"/>
    <mergeCell ref="A18:D18"/>
    <mergeCell ref="E18:F18"/>
    <mergeCell ref="G18:AA18"/>
    <mergeCell ref="A15:D15"/>
    <mergeCell ref="E15:F15"/>
    <mergeCell ref="G15:AA15"/>
    <mergeCell ref="A12:D12"/>
    <mergeCell ref="E12:F12"/>
    <mergeCell ref="G12:AA12"/>
    <mergeCell ref="A13:D13"/>
    <mergeCell ref="E13:F13"/>
    <mergeCell ref="G13:AA13"/>
    <mergeCell ref="A3:L3"/>
    <mergeCell ref="M3:AA8"/>
    <mergeCell ref="A4:L4"/>
    <mergeCell ref="A5:L8"/>
    <mergeCell ref="A11:D11"/>
    <mergeCell ref="E11:F11"/>
    <mergeCell ref="G11:AA11"/>
    <mergeCell ref="A14:D14"/>
    <mergeCell ref="E14:F14"/>
    <mergeCell ref="G14:AA14"/>
  </mergeCells>
  <printOptions horizontalCentered="1"/>
  <pageMargins left="0.70833333333333337" right="0.11805555555555555" top="0.47222222222222221" bottom="0.2361111111111111" header="0.51180555555555551" footer="0.11805555555555555"/>
  <pageSetup paperSize="9" firstPageNumber="0" orientation="portrait" horizontalDpi="300" verticalDpi="300"/>
  <headerFooter alignWithMargins="0">
    <oddFooter>&amp;L&amp;F&amp;C&amp;A&amp;R&amp;P(&amp;N)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4"/>
  <sheetViews>
    <sheetView showZeros="0" tabSelected="1" zoomScaleNormal="100" zoomScaleSheetLayoutView="100" workbookViewId="0">
      <selection activeCell="E1" sqref="E1:R1"/>
    </sheetView>
  </sheetViews>
  <sheetFormatPr defaultColWidth="0" defaultRowHeight="0" customHeight="1" zeroHeight="1"/>
  <cols>
    <col min="1" max="4" width="3.6640625" customWidth="1"/>
    <col min="5" max="5" width="4.33203125" customWidth="1"/>
    <col min="6" max="6" width="4.1640625" customWidth="1"/>
    <col min="7" max="10" width="3.6640625" customWidth="1"/>
    <col min="11" max="11" width="4.33203125" customWidth="1"/>
    <col min="12" max="12" width="4.1640625" customWidth="1"/>
    <col min="13" max="13" width="3.6640625" customWidth="1"/>
    <col min="14" max="15" width="4.6640625" customWidth="1"/>
    <col min="16" max="16" width="3.6640625" customWidth="1"/>
    <col min="17" max="17" width="7" customWidth="1"/>
    <col min="18" max="18" width="2.1640625" customWidth="1"/>
    <col min="19" max="19" width="2.5" customWidth="1"/>
    <col min="20" max="20" width="3.6640625" customWidth="1"/>
    <col min="21" max="21" width="6" customWidth="1"/>
    <col min="22" max="23" width="3.6640625" customWidth="1"/>
    <col min="24" max="24" width="5.1640625" customWidth="1"/>
    <col min="25" max="25" width="4.6640625" customWidth="1"/>
    <col min="26" max="29" width="3.6640625" customWidth="1"/>
    <col min="30" max="30" width="4.5" customWidth="1"/>
    <col min="31" max="32" width="3.6640625" customWidth="1"/>
    <col min="33" max="33" width="4.33203125" customWidth="1"/>
    <col min="34" max="35" width="3.6640625" customWidth="1"/>
    <col min="36" max="36" width="4.5" customWidth="1"/>
    <col min="37" max="38" width="3.6640625" customWidth="1"/>
    <col min="39" max="39" width="5.1640625" customWidth="1"/>
    <col min="40" max="41" width="3.6640625" customWidth="1"/>
    <col min="42" max="42" width="5.33203125" customWidth="1"/>
    <col min="43" max="43" width="3.6640625" customWidth="1"/>
    <col min="44" max="44" width="5.5" customWidth="1"/>
    <col min="45" max="46" width="3.6640625" customWidth="1"/>
  </cols>
  <sheetData>
    <row r="1" spans="1:47" s="4" customFormat="1" ht="15.75" customHeight="1">
      <c r="A1" s="558" t="s">
        <v>187</v>
      </c>
      <c r="B1" s="559"/>
      <c r="C1" s="559"/>
      <c r="D1" s="560"/>
      <c r="E1" s="561" t="s">
        <v>382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  <c r="T1" s="564" t="s">
        <v>371</v>
      </c>
      <c r="U1" s="389"/>
      <c r="V1" s="163" t="s">
        <v>384</v>
      </c>
      <c r="W1" s="164"/>
      <c r="X1" s="164"/>
      <c r="Y1" s="165"/>
      <c r="Z1" s="547" t="s">
        <v>385</v>
      </c>
      <c r="AA1" s="548"/>
      <c r="AC1" s="549" t="s">
        <v>186</v>
      </c>
      <c r="AD1" s="549"/>
      <c r="AE1" s="549"/>
      <c r="AF1" s="549"/>
      <c r="AG1" s="549"/>
      <c r="AH1" s="549"/>
      <c r="AI1" s="549"/>
      <c r="AJ1" s="549"/>
      <c r="AK1" s="549"/>
      <c r="AL1" s="549"/>
      <c r="AM1" s="549"/>
      <c r="AN1" s="549"/>
      <c r="AO1" s="550">
        <f>IF($AS$1=0,0,CHOOSE(AS1,"с  ТГ","с КПГЦ"))</f>
        <v>0</v>
      </c>
      <c r="AP1" s="550"/>
      <c r="AQ1" s="550"/>
      <c r="AR1" s="550"/>
      <c r="AS1" s="53"/>
    </row>
    <row r="2" spans="1:47" s="4" customFormat="1" ht="15.75" customHeight="1">
      <c r="A2" s="551" t="s">
        <v>185</v>
      </c>
      <c r="B2" s="552"/>
      <c r="C2" s="552"/>
      <c r="D2" s="553"/>
      <c r="E2" s="554" t="s">
        <v>383</v>
      </c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V2" s="21"/>
      <c r="W2" s="21"/>
      <c r="X2" s="21"/>
      <c r="Y2" s="21"/>
      <c r="Z2" s="21"/>
      <c r="AA2" s="21"/>
      <c r="AC2" s="555" t="s">
        <v>184</v>
      </c>
      <c r="AD2" s="555"/>
      <c r="AE2" s="555"/>
      <c r="AF2" s="555"/>
      <c r="AG2" s="555"/>
      <c r="AH2" s="556"/>
      <c r="AI2" s="556"/>
      <c r="AJ2" s="556"/>
      <c r="AK2" s="556"/>
      <c r="AL2" s="556"/>
      <c r="AM2" s="556"/>
      <c r="AN2" s="556"/>
      <c r="AO2" s="557"/>
      <c r="AP2" s="557"/>
      <c r="AQ2" s="557"/>
      <c r="AR2" s="557"/>
      <c r="AS2" s="557"/>
    </row>
    <row r="3" spans="1:47" s="4" customFormat="1" ht="15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AF3" s="19"/>
      <c r="AG3" s="19"/>
      <c r="AH3" s="565" t="s">
        <v>302</v>
      </c>
      <c r="AI3" s="566"/>
      <c r="AJ3" s="566"/>
      <c r="AK3" s="566"/>
      <c r="AL3" s="566"/>
      <c r="AM3" s="566"/>
      <c r="AN3" s="567"/>
      <c r="AO3" s="577">
        <f>IF($AO$2=0,0,SUM(15,-AO2)*0.1/100)</f>
        <v>0</v>
      </c>
      <c r="AP3" s="578"/>
      <c r="AQ3" s="578"/>
      <c r="AR3" s="578"/>
      <c r="AS3" s="579"/>
    </row>
    <row r="4" spans="1:47" s="4" customFormat="1" ht="15.75" customHeight="1">
      <c r="A4" s="403">
        <f>IF($AS$1=0,0,IF(AS1&lt;&gt;0,"Тип гориво за ЕПГ"))</f>
        <v>0</v>
      </c>
      <c r="B4" s="403"/>
      <c r="C4" s="403"/>
      <c r="D4" s="403"/>
      <c r="E4" s="403"/>
      <c r="F4" s="54"/>
      <c r="G4" s="402">
        <f>IF($A$4=0,0,IF($F$4=0,0,CHOOSE($F$4,"Газообразно","Течно","Твърдо","Други","")))</f>
        <v>0</v>
      </c>
      <c r="H4" s="402"/>
      <c r="I4" s="402"/>
      <c r="J4" s="402"/>
      <c r="K4" s="402"/>
      <c r="L4" s="55"/>
      <c r="M4" s="230">
        <f>IF($AS$1=0,0,IF($F4=0,0,CHOOSE($F4,IF($L4=0,0,CHOOSE($L4,"Природен газ, втечнен нефтен газ (пропан-бутан), втечнен природен газ и биометан","Нефтозаводски газове, водород и синтетичен газ","Биогаз, получен от анаеробно разлагане, от депа за отпадъци и от пречистване на отпадъчни води","Коксов газ, доменен газ, минен газ и други улавяни и оползотворявани газове (с изключение на нефтозаводски газ)","Изберете от 1 до 4 (няма повече от 4 вида в клас  Газообразни горива съгласно Регламент 2015/2402)","Изберете от 1 до 4 (няма повече от 4 вида в клас Газообразни горива съгласно Регламент 2015/2402)")),IF($L4=0,0,CHOOSE($L4,"Котелно гориво (мазут), газьол, дизелово гориво и други нефтопродукти","Течни биогорива, включително биометанол, биоетанол, биобутанол, биодизел и други течни биогорива","Отпадъчни течности, включително биоразградими и невъзобновяеми отпадъци (в това число лой, мас и малцови трици)","Изберете от 1 до 3 (няма повече от 3 вида в клас Течни горива съгласно Регламент 2015/2402)","Изберете от 1 до 3 (няма повече от 3 вида в клас Течни горива съгласно Регламент 2015/2402)","Изберете от 1 до 3 (няма повече от 3 вида в клас Течни горива съгласно Регламент 2015/2402)")),IF($L4=0,0,CHOOSE($L4,"Въглища, включително антрацитни, черни и кафяви въглища, кокс, полукокс, нефтен кокс","Лигнитни въглища, лигнитни брикети, шистов нефт","Торф, торфени брикети","Суха биомаса, включително дървесина и друга твърда биомаса, в това число дървесни пелети и брикети, сушени дървесни тресчици (woodchips), чисти и сухи дървесни отпадъци, черупки от черупкови плодове и костилки от маслини и от други плодове","Други видове твърда биомаса, включително всички видове дървесина, които не са включени в S4, и черна и кафява луга","Битови и промишлени отпадъци (невъзобновяеми) и възобновяеми/биоразградими отпадъци")),IF($L4=0,0,CHOOSE($L4,"Отпадна топлина (включително от изходящи газове от високотемпературни процеси, продукт от екзотермични химични реакции)","Ядрена енергия","Слънчева топлинна енергия","Геотермална енергия","Други горива/видове енергия, неупоменати по-горе","Изберете от 1 до 5 (няма повече от 5 вида в клас Други горива съгласно Регламент 2015/2402)")))))</f>
        <v>0</v>
      </c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2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7" s="4" customFormat="1" ht="15.75" customHeight="1">
      <c r="A5" s="562">
        <f>IF($AS$1&lt;&gt;2,0,IF($AS$1=2,"Тип гориво за ГТ"))</f>
        <v>0</v>
      </c>
      <c r="B5" s="562"/>
      <c r="C5" s="562"/>
      <c r="D5" s="562"/>
      <c r="E5" s="562"/>
      <c r="F5" s="56"/>
      <c r="G5" s="563">
        <f>IF($A$5=0,0,IF($F$5=0,0,CHOOSE($F$5,"Газообразно","Течно","")))</f>
        <v>0</v>
      </c>
      <c r="H5" s="563"/>
      <c r="I5" s="563"/>
      <c r="J5" s="563"/>
      <c r="K5" s="563"/>
      <c r="L5" s="57"/>
      <c r="M5" s="543">
        <f>IF($AS$1&lt;&gt;2,0,IF($F5=1,IF($L5=1,"Природен газ, втечнен нефтен газ (пропан-бутан), втечнен природен газ и биометан",IF($L5=2,"Нефтозаводски газове, водород и синтетичен газ",IF($L5=3,"Биогаз, получен от анаеробно разлагане, от депа за отпадъци и от пречистване на отпадъчни води",IF($L5=4,"Коксов газ, доменен газ, минен газ и други улавяни и оползотворявани газове (с изключение на нефтозаводски газ)",0)))),IF($L5=1,"Котелно гориво (мазут), газьол, дизелово гориво и други нефтопродукти",IF($L5=2,"Течни биогорива, включително биометанол, биоетанол, биобутанол, биодизел и други течни биогорива",IF($L5=3,"Отпадъчни течности, включително биоразградими и невъзобновяеми отпадъци (в това число лой, мас и малцови трици)",IF($L5=4,"Изберете от 1 до 3 (няма повече от 3 вида в клас Течни горива съгласно Регламент 2015/2402)",0))))))</f>
        <v>0</v>
      </c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5"/>
      <c r="AG5"/>
      <c r="AH5" s="67"/>
      <c r="AI5" s="580" t="s">
        <v>303</v>
      </c>
      <c r="AJ5" s="581"/>
      <c r="AK5" s="581"/>
      <c r="AL5" s="581"/>
      <c r="AM5" s="581"/>
      <c r="AN5" s="581"/>
      <c r="AO5" s="581"/>
      <c r="AP5" s="581"/>
      <c r="AQ5" s="581"/>
      <c r="AR5" s="581"/>
      <c r="AS5" s="582"/>
    </row>
    <row r="6" spans="1:47" s="4" customFormat="1" ht="15.75" customHeight="1">
      <c r="A6" s="243" t="s">
        <v>340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6"/>
    </row>
    <row r="7" spans="1:47" s="4" customFormat="1" ht="15.75" customHeight="1">
      <c r="A7" s="568" t="s">
        <v>183</v>
      </c>
      <c r="B7" s="568"/>
      <c r="C7" s="568"/>
      <c r="D7" s="568"/>
      <c r="E7" s="568" t="s">
        <v>5</v>
      </c>
      <c r="F7" s="568"/>
      <c r="G7" s="569" t="s">
        <v>304</v>
      </c>
      <c r="H7" s="569"/>
      <c r="I7" s="569"/>
      <c r="J7" s="568" t="s">
        <v>182</v>
      </c>
      <c r="K7" s="568"/>
      <c r="L7" s="568"/>
      <c r="M7" s="568" t="s">
        <v>181</v>
      </c>
      <c r="N7" s="568"/>
      <c r="O7" s="568"/>
      <c r="P7" s="530">
        <f>IF($AS$1=0,0,CHOOSE($AS$1,"","F1 + F2"))</f>
        <v>0</v>
      </c>
      <c r="Q7" s="531"/>
      <c r="R7" s="587"/>
      <c r="S7" s="530">
        <f>IF($AS$1=0,0,CHOOSE($AS$1,"","F1 за ГТ"))</f>
        <v>0</v>
      </c>
      <c r="T7" s="531"/>
      <c r="U7" s="531"/>
      <c r="V7" s="81"/>
      <c r="W7" s="570">
        <f t="shared" ref="W7:X7" si="0">IF($AS$1=0,0,CHOOSE($AS$1,"","F2 доп. за КУ"))</f>
        <v>0</v>
      </c>
      <c r="X7" s="571">
        <f t="shared" si="0"/>
        <v>0</v>
      </c>
      <c r="Y7" s="532" t="s">
        <v>180</v>
      </c>
      <c r="Z7" s="532"/>
      <c r="AA7" s="532"/>
      <c r="AB7" s="532" t="s">
        <v>179</v>
      </c>
      <c r="AC7" s="532"/>
      <c r="AD7" s="532"/>
      <c r="AF7" s="593" t="s">
        <v>367</v>
      </c>
      <c r="AG7" s="594"/>
      <c r="AH7" s="594"/>
      <c r="AI7" s="594"/>
      <c r="AJ7" s="594"/>
      <c r="AK7" s="594"/>
      <c r="AL7" s="594"/>
      <c r="AM7" s="594"/>
      <c r="AN7" s="594"/>
      <c r="AO7" s="594"/>
      <c r="AP7" s="594"/>
      <c r="AQ7" s="594"/>
      <c r="AR7" s="594"/>
      <c r="AS7" s="595"/>
    </row>
    <row r="8" spans="1:47" s="4" customFormat="1" ht="15.75" customHeight="1" thickBot="1">
      <c r="A8" s="599" t="s">
        <v>178</v>
      </c>
      <c r="B8" s="599"/>
      <c r="C8" s="599"/>
      <c r="D8" s="599"/>
      <c r="E8" s="600" t="s">
        <v>1</v>
      </c>
      <c r="F8" s="600"/>
      <c r="G8" s="535">
        <f t="shared" ref="G8" si="1">SUM(J8:O8,P8,Y8:AD8)</f>
        <v>0</v>
      </c>
      <c r="H8" s="535"/>
      <c r="I8" s="535"/>
      <c r="J8" s="535">
        <f>SUMPRODUCT(J9:L12,$AJ$9:$AL$12)/3600</f>
        <v>0</v>
      </c>
      <c r="K8" s="535"/>
      <c r="L8" s="535"/>
      <c r="M8" s="535">
        <f>SUMPRODUCT(M9:O12,$AJ$9:$AL$12)/3600</f>
        <v>0</v>
      </c>
      <c r="N8" s="535"/>
      <c r="O8" s="535"/>
      <c r="P8" s="601">
        <f>P$13*$AJ$13/3600</f>
        <v>0</v>
      </c>
      <c r="Q8" s="602"/>
      <c r="R8" s="603"/>
      <c r="S8" s="601">
        <f t="shared" ref="S8" si="2">S$13*$AJ$13/3600</f>
        <v>0</v>
      </c>
      <c r="T8" s="602"/>
      <c r="U8" s="603"/>
      <c r="V8" s="604">
        <f t="shared" ref="V8" si="3">V$13*$AJ$13/3600</f>
        <v>0</v>
      </c>
      <c r="W8" s="602"/>
      <c r="X8" s="603"/>
      <c r="Y8" s="535">
        <f>SUMPRODUCT(Y9:AA13,$AJ$9:$AL$13)/3600</f>
        <v>0</v>
      </c>
      <c r="Z8" s="535"/>
      <c r="AA8" s="535"/>
      <c r="AB8" s="535">
        <f>SUMPRODUCT(AB9:AD13,$AJ$9:$AL$13)/3600</f>
        <v>0</v>
      </c>
      <c r="AC8" s="535"/>
      <c r="AD8" s="535"/>
      <c r="AF8" s="596"/>
      <c r="AG8" s="597"/>
      <c r="AH8" s="597"/>
      <c r="AI8" s="597"/>
      <c r="AJ8" s="597"/>
      <c r="AK8" s="597"/>
      <c r="AL8" s="597"/>
      <c r="AM8" s="597"/>
      <c r="AN8" s="597"/>
      <c r="AO8" s="597"/>
      <c r="AP8" s="597"/>
      <c r="AQ8" s="597"/>
      <c r="AR8" s="597"/>
      <c r="AS8" s="598"/>
    </row>
    <row r="9" spans="1:47" s="4" customFormat="1" ht="15.75" customHeight="1" thickTop="1">
      <c r="A9" s="233" t="s">
        <v>329</v>
      </c>
      <c r="B9" s="583"/>
      <c r="C9" s="79"/>
      <c r="D9" s="79"/>
      <c r="E9" s="536">
        <f>IF($C9=0,0,IF($C9=1,"knm3",IF($C9&gt;=2,"t")))</f>
        <v>0</v>
      </c>
      <c r="F9" s="537"/>
      <c r="G9" s="546">
        <f>SUM(J9:O9)</f>
        <v>0</v>
      </c>
      <c r="H9" s="546"/>
      <c r="I9" s="546"/>
      <c r="J9" s="533"/>
      <c r="K9" s="533"/>
      <c r="L9" s="533"/>
      <c r="M9" s="533"/>
      <c r="N9" s="533"/>
      <c r="O9" s="533"/>
      <c r="P9" s="538" t="s">
        <v>47</v>
      </c>
      <c r="Q9" s="539"/>
      <c r="R9" s="540"/>
      <c r="S9" s="538" t="s">
        <v>47</v>
      </c>
      <c r="T9" s="539"/>
      <c r="U9" s="540"/>
      <c r="V9" s="538" t="s">
        <v>47</v>
      </c>
      <c r="W9" s="539"/>
      <c r="X9" s="540"/>
      <c r="Y9" s="533"/>
      <c r="Z9" s="533"/>
      <c r="AA9" s="533"/>
      <c r="AB9" s="533"/>
      <c r="AC9" s="533"/>
      <c r="AD9" s="533"/>
      <c r="AF9" s="233" t="s">
        <v>312</v>
      </c>
      <c r="AG9" s="234"/>
      <c r="AH9" s="80">
        <f>IF($C9=0,0,IF($C9=1,1,IF($C9=2,2,IF($C9=3,3))))</f>
        <v>0</v>
      </c>
      <c r="AI9" s="80">
        <f>IF($D9=0,0,IF($D9=1,1,IF($D9=2,2,IF($D9=3,3,IF($D9=4,4,IF($D9=5,5,IF($D9=6,6,)))))))</f>
        <v>0</v>
      </c>
      <c r="AJ9" s="541">
        <f>AO9*3600/860</f>
        <v>0</v>
      </c>
      <c r="AK9" s="542"/>
      <c r="AL9" s="542"/>
      <c r="AM9" s="537">
        <f>IF($AH9=0,0,IF($AH9=1,"kJ/nm3",IF($AH9&gt;=2,"kJ/kg")))</f>
        <v>0</v>
      </c>
      <c r="AN9" s="537"/>
      <c r="AO9" s="533"/>
      <c r="AP9" s="533"/>
      <c r="AQ9" s="533"/>
      <c r="AR9" s="588">
        <f>IF($AH9=0,0,IF($AH9=1,"kcal/nm3",IF($AH9&gt;=2,"kcal/kg")))</f>
        <v>0</v>
      </c>
      <c r="AS9" s="588"/>
    </row>
    <row r="10" spans="1:47" s="4" customFormat="1" ht="15.75" customHeight="1">
      <c r="A10" s="237" t="s">
        <v>330</v>
      </c>
      <c r="B10" s="584"/>
      <c r="C10" s="68"/>
      <c r="D10" s="68"/>
      <c r="E10" s="526">
        <f t="shared" ref="E10:E13" si="4">IF($C10=0,0,IF($C10=1,"knm3",IF($C10&gt;=2,"t")))</f>
        <v>0</v>
      </c>
      <c r="F10" s="296"/>
      <c r="G10" s="485">
        <f t="shared" ref="G10:G12" si="5">SUM(J10:O10)</f>
        <v>0</v>
      </c>
      <c r="H10" s="485"/>
      <c r="I10" s="485"/>
      <c r="J10" s="228"/>
      <c r="K10" s="228"/>
      <c r="L10" s="228"/>
      <c r="M10" s="228"/>
      <c r="N10" s="228"/>
      <c r="O10" s="228"/>
      <c r="P10" s="396" t="s">
        <v>47</v>
      </c>
      <c r="Q10" s="397"/>
      <c r="R10" s="398"/>
      <c r="S10" s="396" t="s">
        <v>47</v>
      </c>
      <c r="T10" s="397"/>
      <c r="U10" s="398"/>
      <c r="V10" s="396" t="s">
        <v>47</v>
      </c>
      <c r="W10" s="397"/>
      <c r="X10" s="398"/>
      <c r="Y10" s="228"/>
      <c r="Z10" s="228"/>
      <c r="AA10" s="228"/>
      <c r="AB10" s="228"/>
      <c r="AC10" s="228"/>
      <c r="AD10" s="228"/>
      <c r="AF10" s="235" t="s">
        <v>313</v>
      </c>
      <c r="AG10" s="236"/>
      <c r="AH10" s="59">
        <f t="shared" ref="AH10:AH12" si="6">IF($C10=0,0,IF($C10=1,1,IF($C10=2,2,IF($C10=3,3))))</f>
        <v>0</v>
      </c>
      <c r="AI10" s="59">
        <f t="shared" ref="AI10:AI12" si="7">IF($D10=0,0,IF($D10=1,1,IF($D10=2,2,IF($D10=3,3,IF($D10=4,4,IF($D10=5,5,IF($D10=6,6,)))))))</f>
        <v>0</v>
      </c>
      <c r="AJ10" s="529">
        <f>AO10*3600/860</f>
        <v>0</v>
      </c>
      <c r="AK10" s="287"/>
      <c r="AL10" s="287"/>
      <c r="AM10" s="296">
        <f t="shared" ref="AM10:AM13" si="8">IF($AH10=0,0,IF($AH10=1,"kJ/nm3",IF($AH10&gt;=2,"kJ/kg")))</f>
        <v>0</v>
      </c>
      <c r="AN10" s="296"/>
      <c r="AO10" s="228"/>
      <c r="AP10" s="228"/>
      <c r="AQ10" s="228"/>
      <c r="AR10" s="161">
        <f t="shared" ref="AR10:AR13" si="9">IF($AH10=0,0,IF($AH10=1,"kcal/nm3",IF($AH10&gt;=2,"kcal/kg")))</f>
        <v>0</v>
      </c>
      <c r="AS10" s="161"/>
    </row>
    <row r="11" spans="1:47" s="4" customFormat="1" ht="15.75" customHeight="1">
      <c r="A11" s="237" t="s">
        <v>331</v>
      </c>
      <c r="B11" s="584"/>
      <c r="C11" s="68"/>
      <c r="D11" s="68"/>
      <c r="E11" s="526">
        <f t="shared" si="4"/>
        <v>0</v>
      </c>
      <c r="F11" s="296"/>
      <c r="G11" s="485">
        <f t="shared" si="5"/>
        <v>0</v>
      </c>
      <c r="H11" s="485"/>
      <c r="I11" s="485"/>
      <c r="J11" s="228"/>
      <c r="K11" s="228"/>
      <c r="L11" s="228"/>
      <c r="M11" s="228"/>
      <c r="N11" s="228"/>
      <c r="O11" s="228"/>
      <c r="P11" s="396" t="s">
        <v>47</v>
      </c>
      <c r="Q11" s="397"/>
      <c r="R11" s="398"/>
      <c r="S11" s="396" t="s">
        <v>47</v>
      </c>
      <c r="T11" s="397"/>
      <c r="U11" s="398"/>
      <c r="V11" s="396" t="s">
        <v>47</v>
      </c>
      <c r="W11" s="397"/>
      <c r="X11" s="398"/>
      <c r="Y11" s="228"/>
      <c r="Z11" s="228"/>
      <c r="AA11" s="228"/>
      <c r="AB11" s="228"/>
      <c r="AC11" s="228"/>
      <c r="AD11" s="228"/>
      <c r="AF11" s="237" t="s">
        <v>314</v>
      </c>
      <c r="AG11" s="238"/>
      <c r="AH11" s="61">
        <f t="shared" si="6"/>
        <v>0</v>
      </c>
      <c r="AI11" s="59">
        <f t="shared" si="7"/>
        <v>0</v>
      </c>
      <c r="AJ11" s="529">
        <f>AO11*3600/860</f>
        <v>0</v>
      </c>
      <c r="AK11" s="287"/>
      <c r="AL11" s="287"/>
      <c r="AM11" s="296">
        <f t="shared" si="8"/>
        <v>0</v>
      </c>
      <c r="AN11" s="296"/>
      <c r="AO11" s="228"/>
      <c r="AP11" s="228"/>
      <c r="AQ11" s="228"/>
      <c r="AR11" s="161">
        <f t="shared" si="9"/>
        <v>0</v>
      </c>
      <c r="AS11" s="161"/>
    </row>
    <row r="12" spans="1:47" s="4" customFormat="1" ht="15.75" customHeight="1">
      <c r="A12" s="237" t="s">
        <v>332</v>
      </c>
      <c r="B12" s="584"/>
      <c r="C12" s="68"/>
      <c r="D12" s="68"/>
      <c r="E12" s="526">
        <f t="shared" si="4"/>
        <v>0</v>
      </c>
      <c r="F12" s="296"/>
      <c r="G12" s="485">
        <f t="shared" si="5"/>
        <v>0</v>
      </c>
      <c r="H12" s="485"/>
      <c r="I12" s="485"/>
      <c r="J12" s="228"/>
      <c r="K12" s="228"/>
      <c r="L12" s="228"/>
      <c r="M12" s="228"/>
      <c r="N12" s="228"/>
      <c r="O12" s="228"/>
      <c r="P12" s="396" t="s">
        <v>47</v>
      </c>
      <c r="Q12" s="397"/>
      <c r="R12" s="398"/>
      <c r="S12" s="396" t="s">
        <v>47</v>
      </c>
      <c r="T12" s="397"/>
      <c r="U12" s="398"/>
      <c r="V12" s="396" t="s">
        <v>47</v>
      </c>
      <c r="W12" s="397"/>
      <c r="X12" s="398"/>
      <c r="Y12" s="228"/>
      <c r="Z12" s="228"/>
      <c r="AA12" s="228"/>
      <c r="AB12" s="228"/>
      <c r="AC12" s="228"/>
      <c r="AD12" s="228"/>
      <c r="AF12" s="239" t="s">
        <v>315</v>
      </c>
      <c r="AG12" s="240"/>
      <c r="AH12" s="62">
        <f t="shared" si="6"/>
        <v>0</v>
      </c>
      <c r="AI12" s="60">
        <f t="shared" si="7"/>
        <v>0</v>
      </c>
      <c r="AJ12" s="527">
        <f>AO12*3600/860</f>
        <v>0</v>
      </c>
      <c r="AK12" s="528"/>
      <c r="AL12" s="528"/>
      <c r="AM12" s="510">
        <f t="shared" si="8"/>
        <v>0</v>
      </c>
      <c r="AN12" s="510"/>
      <c r="AO12" s="228"/>
      <c r="AP12" s="228"/>
      <c r="AQ12" s="228"/>
      <c r="AR12" s="534">
        <f t="shared" si="9"/>
        <v>0</v>
      </c>
      <c r="AS12" s="534"/>
    </row>
    <row r="13" spans="1:47" s="4" customFormat="1" ht="15.75" customHeight="1">
      <c r="A13" s="585" t="s">
        <v>333</v>
      </c>
      <c r="B13" s="586"/>
      <c r="C13" s="52">
        <f>IF($F5=0,0,IF($F5=1,1,IF($F5=2,2)))</f>
        <v>0</v>
      </c>
      <c r="D13" s="52">
        <f>IF($L5=0,0,IF($L5=1,1,IF($L5=2,2,IF($L5=3,3,IF($L5=4,4)))))</f>
        <v>0</v>
      </c>
      <c r="E13" s="519">
        <f t="shared" si="4"/>
        <v>0</v>
      </c>
      <c r="F13" s="520"/>
      <c r="G13" s="521">
        <f>IF($P$13=0,0,$P$13)</f>
        <v>0</v>
      </c>
      <c r="H13" s="521"/>
      <c r="I13" s="521"/>
      <c r="J13" s="522" t="s">
        <v>47</v>
      </c>
      <c r="K13" s="397"/>
      <c r="L13" s="398"/>
      <c r="M13" s="396" t="s">
        <v>47</v>
      </c>
      <c r="N13" s="397"/>
      <c r="O13" s="398"/>
      <c r="P13" s="514">
        <f>SUM(S13:X13)</f>
        <v>0</v>
      </c>
      <c r="Q13" s="514"/>
      <c r="R13" s="514"/>
      <c r="S13" s="501"/>
      <c r="T13" s="501"/>
      <c r="U13" s="501"/>
      <c r="V13" s="501"/>
      <c r="W13" s="501"/>
      <c r="X13" s="501"/>
      <c r="Y13" s="503" t="s">
        <v>47</v>
      </c>
      <c r="Z13" s="504"/>
      <c r="AA13" s="505"/>
      <c r="AB13" s="503" t="s">
        <v>47</v>
      </c>
      <c r="AC13" s="504"/>
      <c r="AD13" s="505"/>
      <c r="AF13" s="241" t="s">
        <v>316</v>
      </c>
      <c r="AG13" s="242"/>
      <c r="AH13" s="63">
        <f t="shared" ref="AH13" si="10">IF($C13=0,0,IF($C13=1,1,IF($C13=2,2,IF($C13=3,3))))</f>
        <v>0</v>
      </c>
      <c r="AI13" s="52">
        <f t="shared" ref="AI13" si="11">IF($D13=0,0,IF($D13=1,1,IF($D13=2,2,IF($D13=3,3,IF($D13=4,4)))))</f>
        <v>0</v>
      </c>
      <c r="AJ13" s="513">
        <f>AO13*3600/860</f>
        <v>0</v>
      </c>
      <c r="AK13" s="514"/>
      <c r="AL13" s="514"/>
      <c r="AM13" s="515">
        <f t="shared" si="8"/>
        <v>0</v>
      </c>
      <c r="AN13" s="515"/>
      <c r="AO13" s="501"/>
      <c r="AP13" s="501"/>
      <c r="AQ13" s="501"/>
      <c r="AR13" s="502">
        <f t="shared" si="9"/>
        <v>0</v>
      </c>
      <c r="AS13" s="502"/>
    </row>
    <row r="14" spans="1:47" s="4" customFormat="1" ht="15.75" customHeight="1">
      <c r="A14" s="523" t="s">
        <v>339</v>
      </c>
      <c r="B14" s="524"/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  <c r="U14" s="524"/>
      <c r="V14" s="524"/>
      <c r="W14" s="524"/>
      <c r="X14" s="524"/>
      <c r="Y14" s="524"/>
      <c r="Z14" s="524"/>
      <c r="AA14" s="524"/>
      <c r="AB14" s="524"/>
      <c r="AC14" s="524"/>
      <c r="AD14" s="524"/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5"/>
      <c r="AT14" s="1"/>
      <c r="AU14" s="1"/>
    </row>
    <row r="15" spans="1:47" ht="15.75" customHeight="1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47" s="12" customFormat="1" ht="15.75" customHeight="1">
      <c r="A16" s="516" t="s">
        <v>305</v>
      </c>
      <c r="B16" s="517"/>
      <c r="C16" s="517"/>
      <c r="D16" s="517"/>
      <c r="E16" s="517"/>
      <c r="F16" s="517"/>
      <c r="G16" s="517"/>
      <c r="H16" s="517"/>
      <c r="I16" s="517"/>
      <c r="J16" s="517"/>
      <c r="K16" s="517"/>
      <c r="L16" s="518"/>
      <c r="M16" s="516" t="s">
        <v>307</v>
      </c>
      <c r="N16" s="517"/>
      <c r="O16" s="517"/>
      <c r="P16" s="517"/>
      <c r="Q16" s="517"/>
      <c r="R16" s="517"/>
      <c r="S16" s="517"/>
      <c r="T16" s="517"/>
      <c r="U16" s="517"/>
      <c r="V16" s="518"/>
      <c r="W16" s="516" t="s">
        <v>306</v>
      </c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8"/>
    </row>
    <row r="17" spans="1:60" s="12" customFormat="1" ht="15.75" customHeight="1">
      <c r="A17" s="33" t="s">
        <v>7</v>
      </c>
      <c r="B17" s="511" t="s">
        <v>19</v>
      </c>
      <c r="C17" s="511"/>
      <c r="D17" s="511"/>
      <c r="E17" s="511"/>
      <c r="F17" s="511"/>
      <c r="G17" s="511"/>
      <c r="H17" s="511" t="s">
        <v>5</v>
      </c>
      <c r="I17" s="511"/>
      <c r="J17" s="339" t="s">
        <v>69</v>
      </c>
      <c r="K17" s="339"/>
      <c r="L17" s="339"/>
      <c r="M17"/>
      <c r="N17"/>
      <c r="O17"/>
      <c r="P17"/>
      <c r="Q17"/>
      <c r="R17"/>
      <c r="S17"/>
      <c r="T17"/>
      <c r="U17"/>
      <c r="V17"/>
      <c r="W17" s="33" t="s">
        <v>7</v>
      </c>
      <c r="X17" s="160" t="s">
        <v>19</v>
      </c>
      <c r="Y17" s="160"/>
      <c r="Z17" s="160"/>
      <c r="AA17" s="160"/>
      <c r="AB17" s="160"/>
      <c r="AC17" s="160"/>
      <c r="AD17" s="160" t="s">
        <v>5</v>
      </c>
      <c r="AE17" s="160"/>
      <c r="AF17" s="339" t="s">
        <v>69</v>
      </c>
      <c r="AG17" s="339"/>
      <c r="AH17" s="339"/>
      <c r="AI17"/>
      <c r="AJ17"/>
      <c r="AK17"/>
      <c r="AL17"/>
      <c r="AM17"/>
      <c r="AN17"/>
      <c r="AO17"/>
      <c r="AP17"/>
      <c r="AQ17"/>
      <c r="AR17"/>
      <c r="AS17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s="12" customFormat="1" ht="15.75" customHeight="1">
      <c r="A18" s="34">
        <v>1</v>
      </c>
      <c r="B18" s="328" t="s">
        <v>169</v>
      </c>
      <c r="C18" s="328"/>
      <c r="D18" s="328"/>
      <c r="E18" s="328"/>
      <c r="F18" s="328"/>
      <c r="G18" s="328"/>
      <c r="H18" s="296" t="s">
        <v>1</v>
      </c>
      <c r="I18" s="296"/>
      <c r="J18" s="228"/>
      <c r="K18" s="228"/>
      <c r="L18" s="228"/>
      <c r="M18"/>
      <c r="N18"/>
      <c r="O18"/>
      <c r="P18"/>
      <c r="Q18"/>
      <c r="R18"/>
      <c r="S18"/>
      <c r="T18"/>
      <c r="U18"/>
      <c r="V18"/>
      <c r="W18" s="35">
        <v>1</v>
      </c>
      <c r="X18" s="512" t="s">
        <v>168</v>
      </c>
      <c r="Y18" s="512"/>
      <c r="Z18" s="512"/>
      <c r="AA18" s="512"/>
      <c r="AB18" s="512"/>
      <c r="AC18" s="512"/>
      <c r="AD18" s="296" t="s">
        <v>39</v>
      </c>
      <c r="AE18" s="296"/>
      <c r="AF18" s="228"/>
      <c r="AG18" s="228"/>
      <c r="AH18" s="228"/>
      <c r="AI18"/>
      <c r="AJ18"/>
      <c r="AK18"/>
      <c r="AL18"/>
      <c r="AM18"/>
      <c r="AN18"/>
      <c r="AO18"/>
      <c r="AP18"/>
      <c r="AQ18"/>
      <c r="AR18"/>
      <c r="AS18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s="12" customFormat="1" ht="15.75" customHeight="1">
      <c r="A19" s="34">
        <v>2</v>
      </c>
      <c r="B19" s="328" t="s">
        <v>167</v>
      </c>
      <c r="C19" s="328"/>
      <c r="D19" s="328"/>
      <c r="E19" s="328"/>
      <c r="F19" s="328"/>
      <c r="G19" s="328"/>
      <c r="H19" s="296" t="s">
        <v>24</v>
      </c>
      <c r="I19" s="296"/>
      <c r="J19" s="507">
        <f>IF(Y8=0,0,ROUND(J18/Y8,2))</f>
        <v>0</v>
      </c>
      <c r="K19" s="508"/>
      <c r="L19" s="509"/>
      <c r="M19"/>
      <c r="N19"/>
      <c r="O19"/>
      <c r="P19"/>
      <c r="Q19"/>
      <c r="R19"/>
      <c r="S19"/>
      <c r="T19"/>
      <c r="U19"/>
      <c r="V19"/>
      <c r="W19" s="35">
        <v>2</v>
      </c>
      <c r="X19" s="328" t="s">
        <v>166</v>
      </c>
      <c r="Y19" s="328"/>
      <c r="Z19" s="328"/>
      <c r="AA19" s="328"/>
      <c r="AB19" s="328"/>
      <c r="AC19" s="328"/>
      <c r="AD19" s="296" t="s">
        <v>1</v>
      </c>
      <c r="AE19" s="296"/>
      <c r="AF19" s="228"/>
      <c r="AG19" s="228"/>
      <c r="AH19" s="228"/>
      <c r="AI19"/>
      <c r="AJ19"/>
      <c r="AK19"/>
      <c r="AL19"/>
      <c r="AM19"/>
      <c r="AN19"/>
      <c r="AO19"/>
      <c r="AP19"/>
      <c r="AQ19"/>
      <c r="AR19"/>
      <c r="AS19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s="12" customFormat="1" ht="15.75" customHeight="1">
      <c r="A20" s="17"/>
      <c r="B20" s="18"/>
      <c r="J20" s="17"/>
      <c r="M20" s="17"/>
      <c r="T20" s="4"/>
      <c r="U20" s="4"/>
      <c r="W20" s="34">
        <v>3</v>
      </c>
      <c r="X20" s="328" t="s">
        <v>165</v>
      </c>
      <c r="Y20" s="328"/>
      <c r="Z20" s="328"/>
      <c r="AA20" s="328"/>
      <c r="AB20" s="328"/>
      <c r="AC20" s="328"/>
      <c r="AD20" s="296" t="s">
        <v>24</v>
      </c>
      <c r="AE20" s="296"/>
      <c r="AF20" s="507">
        <f>IF(AB8=0,0,ROUND(AF19/AB8,2))</f>
        <v>0</v>
      </c>
      <c r="AG20" s="508"/>
      <c r="AH20" s="509"/>
      <c r="AN20" s="4"/>
      <c r="AQ20" s="17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s="4" customFormat="1" ht="15.75" customHeight="1"/>
    <row r="22" spans="1:60" s="14" customFormat="1" ht="15.75" customHeight="1">
      <c r="B22" s="506" t="s">
        <v>164</v>
      </c>
      <c r="C22" s="506"/>
      <c r="D22" s="506"/>
      <c r="E22" s="506"/>
      <c r="F22" s="506"/>
      <c r="G22" s="506"/>
      <c r="H22" s="506"/>
      <c r="I22" s="506"/>
      <c r="J22" s="506"/>
      <c r="K22" s="506"/>
      <c r="L22" s="506"/>
      <c r="M22" s="506"/>
      <c r="N22" s="506"/>
      <c r="O22" s="506"/>
      <c r="P22" s="506"/>
      <c r="Q22" s="506"/>
      <c r="R22" s="506"/>
      <c r="S22" s="506"/>
      <c r="T22" s="506"/>
      <c r="U22" s="506"/>
      <c r="V22" s="506"/>
      <c r="W22" s="506"/>
      <c r="X22" s="506"/>
      <c r="Y22" s="506"/>
      <c r="Z22" s="506"/>
      <c r="AA22" s="506"/>
      <c r="AB22" s="50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60" s="14" customFormat="1" ht="15.75" customHeight="1"/>
    <row r="24" spans="1:60" s="14" customFormat="1" ht="15.75" customHeight="1">
      <c r="A24" s="36" t="s">
        <v>7</v>
      </c>
      <c r="B24" s="207" t="s">
        <v>19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402" t="s">
        <v>5</v>
      </c>
      <c r="O24" s="402"/>
      <c r="P24" s="207" t="s">
        <v>69</v>
      </c>
      <c r="Q24" s="207"/>
      <c r="R24" s="207"/>
      <c r="S24" s="207" t="s">
        <v>163</v>
      </c>
      <c r="T24" s="207"/>
      <c r="U24" s="207"/>
      <c r="V24" s="207" t="s">
        <v>162</v>
      </c>
      <c r="W24" s="207"/>
      <c r="X24" s="207"/>
      <c r="Y24" s="207" t="s">
        <v>161</v>
      </c>
      <c r="Z24" s="207"/>
      <c r="AA24" s="207"/>
      <c r="AB24" s="207" t="s">
        <v>160</v>
      </c>
      <c r="AC24" s="207"/>
      <c r="AD24" s="207"/>
      <c r="AE24" s="207" t="s">
        <v>159</v>
      </c>
      <c r="AF24" s="207"/>
      <c r="AG24" s="207"/>
      <c r="AH24" s="207" t="s">
        <v>158</v>
      </c>
      <c r="AI24" s="207"/>
      <c r="AJ24" s="207"/>
      <c r="AK24" s="207" t="s">
        <v>157</v>
      </c>
      <c r="AL24" s="207"/>
      <c r="AM24" s="207"/>
      <c r="AN24" s="207" t="s">
        <v>156</v>
      </c>
      <c r="AO24" s="207"/>
      <c r="AP24" s="207"/>
      <c r="AQ24" s="207" t="s">
        <v>155</v>
      </c>
      <c r="AR24" s="207"/>
      <c r="AS24" s="207"/>
    </row>
    <row r="25" spans="1:60" s="14" customFormat="1" ht="15.75" customHeight="1">
      <c r="A25" s="37">
        <v>1</v>
      </c>
      <c r="B25" s="498" t="s">
        <v>154</v>
      </c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02" t="s">
        <v>36</v>
      </c>
      <c r="O25" s="402"/>
      <c r="P25" s="128">
        <f>SUM(S25:AS25)</f>
        <v>0</v>
      </c>
      <c r="Q25" s="128"/>
      <c r="R25" s="128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0"/>
      <c r="AL25" s="430"/>
      <c r="AM25" s="430"/>
      <c r="AN25" s="430"/>
      <c r="AO25" s="430"/>
      <c r="AP25" s="430"/>
      <c r="AQ25" s="430"/>
      <c r="AR25" s="430"/>
      <c r="AS25" s="430"/>
    </row>
    <row r="26" spans="1:60" s="14" customFormat="1" ht="15.75" customHeight="1">
      <c r="A26" s="38">
        <v>2</v>
      </c>
      <c r="B26" s="498" t="s">
        <v>115</v>
      </c>
      <c r="C26" s="498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199" t="s">
        <v>98</v>
      </c>
      <c r="O26" s="199"/>
      <c r="P26" s="128">
        <f>SUM(S26:AS26)</f>
        <v>0</v>
      </c>
      <c r="Q26" s="128"/>
      <c r="R26" s="128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</row>
    <row r="27" spans="1:60" s="14" customFormat="1" ht="15.75" customHeight="1">
      <c r="A27" s="37">
        <v>3</v>
      </c>
      <c r="B27" s="498" t="s">
        <v>153</v>
      </c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199" t="s">
        <v>39</v>
      </c>
      <c r="O27" s="199"/>
      <c r="P27" s="128">
        <f>SUM(S27:AS27)</f>
        <v>0</v>
      </c>
      <c r="Q27" s="128"/>
      <c r="R27" s="128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479"/>
      <c r="AR27" s="479"/>
      <c r="AS27" s="479"/>
    </row>
    <row r="28" spans="1:60" s="14" customFormat="1" ht="15.75" customHeight="1">
      <c r="A28" s="38">
        <v>4</v>
      </c>
      <c r="B28" s="498" t="s">
        <v>152</v>
      </c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199" t="s">
        <v>39</v>
      </c>
      <c r="O28" s="199"/>
      <c r="P28" s="128">
        <f>SUM(S28:AS28)</f>
        <v>0</v>
      </c>
      <c r="Q28" s="128"/>
      <c r="R28" s="128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479"/>
      <c r="AR28" s="479"/>
      <c r="AS28" s="479"/>
    </row>
    <row r="29" spans="1:60" s="14" customFormat="1" ht="15.75" customHeight="1">
      <c r="A29" s="37">
        <v>5</v>
      </c>
      <c r="B29" s="498" t="s">
        <v>151</v>
      </c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199" t="s">
        <v>103</v>
      </c>
      <c r="O29" s="199"/>
      <c r="P29" s="428">
        <f>IF(P$28=0,0,SUMPRODUCT($S$28:$AS$28,S29:AS29)/P$28)</f>
        <v>0</v>
      </c>
      <c r="Q29" s="428"/>
      <c r="R29" s="428"/>
      <c r="S29" s="423"/>
      <c r="T29" s="423"/>
      <c r="U29" s="423"/>
      <c r="V29" s="423"/>
      <c r="W29" s="423"/>
      <c r="X29" s="423"/>
      <c r="Y29" s="423"/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3"/>
    </row>
    <row r="30" spans="1:60" s="14" customFormat="1" ht="15.75" customHeight="1">
      <c r="A30" s="38">
        <v>6</v>
      </c>
      <c r="B30" s="498" t="s">
        <v>150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199" t="s">
        <v>105</v>
      </c>
      <c r="O30" s="199"/>
      <c r="P30" s="428">
        <f>IF(P$28=0,0,SUMPRODUCT($S$28:$AS$28,S30:AS30)/P$28)</f>
        <v>0</v>
      </c>
      <c r="Q30" s="428"/>
      <c r="R30" s="428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3"/>
      <c r="AG30" s="423"/>
      <c r="AH30" s="423"/>
      <c r="AI30" s="423"/>
      <c r="AJ30" s="423"/>
      <c r="AK30" s="423"/>
      <c r="AL30" s="423"/>
      <c r="AM30" s="423"/>
      <c r="AN30" s="423"/>
      <c r="AO30" s="423"/>
      <c r="AP30" s="423"/>
      <c r="AQ30" s="423"/>
      <c r="AR30" s="423"/>
      <c r="AS30" s="423"/>
    </row>
    <row r="31" spans="1:60" s="14" customFormat="1" ht="15.75" customHeight="1">
      <c r="A31" s="37">
        <v>7</v>
      </c>
      <c r="B31" s="419" t="s">
        <v>149</v>
      </c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199" t="s">
        <v>105</v>
      </c>
      <c r="O31" s="199"/>
      <c r="P31" s="428">
        <f>IF(P$28=0,0,SUMPRODUCT($S$28:$AS$28,S31:AS31)/P$28)</f>
        <v>0</v>
      </c>
      <c r="Q31" s="428"/>
      <c r="R31" s="428"/>
      <c r="S31" s="423"/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3"/>
    </row>
    <row r="32" spans="1:60" s="14" customFormat="1" ht="15.75" customHeight="1">
      <c r="A32" s="38">
        <v>8</v>
      </c>
      <c r="B32" s="498" t="s">
        <v>148</v>
      </c>
      <c r="C32" s="498"/>
      <c r="D32" s="498"/>
      <c r="E32" s="498"/>
      <c r="F32" s="498"/>
      <c r="G32" s="498"/>
      <c r="H32" s="498"/>
      <c r="I32" s="498"/>
      <c r="J32" s="498"/>
      <c r="K32" s="498"/>
      <c r="L32" s="498"/>
      <c r="M32" s="498"/>
      <c r="N32" s="199" t="s">
        <v>105</v>
      </c>
      <c r="O32" s="199"/>
      <c r="P32" s="428">
        <f>IF(P$28=0,0,SUMPRODUCT($S$28:$AS$28,S32:AS32)/P$28)</f>
        <v>0</v>
      </c>
      <c r="Q32" s="428"/>
      <c r="R32" s="428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3"/>
      <c r="AM32" s="423"/>
      <c r="AN32" s="423"/>
      <c r="AO32" s="423"/>
      <c r="AP32" s="423"/>
      <c r="AQ32" s="423"/>
      <c r="AR32" s="423"/>
      <c r="AS32" s="423"/>
    </row>
    <row r="33" spans="1:45" s="14" customFormat="1" ht="15.75" customHeight="1">
      <c r="A33" s="37">
        <v>9</v>
      </c>
      <c r="B33" s="498" t="s">
        <v>338</v>
      </c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199" t="s">
        <v>1</v>
      </c>
      <c r="O33" s="199"/>
      <c r="P33" s="128">
        <f>SUM(S33:AS33)</f>
        <v>0</v>
      </c>
      <c r="Q33" s="128"/>
      <c r="R33" s="128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479"/>
      <c r="AR33" s="479"/>
      <c r="AS33" s="479"/>
    </row>
    <row r="34" spans="1:45" s="14" customFormat="1" ht="15.75" customHeight="1">
      <c r="A34" s="38">
        <v>10</v>
      </c>
      <c r="B34" s="498" t="s">
        <v>147</v>
      </c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199" t="s">
        <v>24</v>
      </c>
      <c r="O34" s="199"/>
      <c r="P34" s="126">
        <f>IF(P$33=0,0,SUMPRODUCT($S$33:$AS$33,S34:AS34)/P$33)</f>
        <v>0</v>
      </c>
      <c r="Q34" s="126"/>
      <c r="R34" s="126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</row>
    <row r="35" spans="1:45" s="14" customFormat="1" ht="15.75" customHeight="1">
      <c r="A35" s="37">
        <v>11</v>
      </c>
      <c r="B35" s="498" t="s">
        <v>146</v>
      </c>
      <c r="C35" s="498"/>
      <c r="D35" s="498"/>
      <c r="E35" s="498"/>
      <c r="F35" s="498"/>
      <c r="G35" s="498"/>
      <c r="H35" s="498"/>
      <c r="I35" s="498"/>
      <c r="J35" s="498"/>
      <c r="K35" s="498"/>
      <c r="L35" s="498"/>
      <c r="M35" s="498"/>
      <c r="N35" s="199" t="s">
        <v>103</v>
      </c>
      <c r="O35" s="199"/>
      <c r="P35" s="428">
        <f>IF(P$28=0,0,SUMPRODUCT($S$28:$AS$28,S35:AS35)/P$28)</f>
        <v>0</v>
      </c>
      <c r="Q35" s="428"/>
      <c r="R35" s="428"/>
      <c r="S35" s="423"/>
      <c r="T35" s="423"/>
      <c r="U35" s="423"/>
      <c r="V35" s="423"/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3"/>
      <c r="AL35" s="423"/>
      <c r="AM35" s="423"/>
      <c r="AN35" s="423"/>
      <c r="AO35" s="423"/>
      <c r="AP35" s="423"/>
      <c r="AQ35" s="423"/>
      <c r="AR35" s="423"/>
      <c r="AS35" s="423"/>
    </row>
    <row r="36" spans="1:45" s="16" customFormat="1" ht="15.75" customHeight="1">
      <c r="A36" s="38">
        <v>12</v>
      </c>
      <c r="B36" s="498" t="s">
        <v>145</v>
      </c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199" t="s">
        <v>105</v>
      </c>
      <c r="O36" s="199"/>
      <c r="P36" s="428">
        <f>IF(P$28=0,0,SUMPRODUCT($S$28:$AS$28,S36:AS36)/P$28)</f>
        <v>0</v>
      </c>
      <c r="Q36" s="428"/>
      <c r="R36" s="428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3"/>
      <c r="AS36" s="423"/>
    </row>
    <row r="37" spans="1:45" ht="15.75" customHeight="1">
      <c r="A37" s="37">
        <v>13</v>
      </c>
      <c r="B37" s="419" t="s">
        <v>144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199" t="s">
        <v>143</v>
      </c>
      <c r="O37" s="199"/>
      <c r="P37" s="499">
        <f>IF(P$28=0,0,SUMPRODUCT($S$28:$AS$28,S37:AS37)/P$28)</f>
        <v>0</v>
      </c>
      <c r="Q37" s="499"/>
      <c r="R37" s="499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</row>
    <row r="38" spans="1:45" s="10" customFormat="1" ht="15.75" customHeight="1"/>
    <row r="39" spans="1:45" ht="15.75" customHeight="1">
      <c r="A39" s="36" t="s">
        <v>7</v>
      </c>
      <c r="B39" s="207" t="s">
        <v>128</v>
      </c>
      <c r="C39" s="207"/>
      <c r="D39" s="207"/>
      <c r="E39" s="207"/>
      <c r="F39" s="207"/>
      <c r="G39" s="207"/>
      <c r="H39" s="207"/>
      <c r="I39" s="207"/>
      <c r="J39" s="402" t="s">
        <v>5</v>
      </c>
      <c r="K39" s="402"/>
      <c r="L39" s="207" t="s">
        <v>69</v>
      </c>
      <c r="M39" s="207"/>
      <c r="N39" s="207"/>
      <c r="O39" s="402" t="s">
        <v>142</v>
      </c>
      <c r="P39" s="402"/>
      <c r="Q39" s="402"/>
      <c r="R39" s="402"/>
      <c r="S39" s="14"/>
      <c r="T39" s="14"/>
      <c r="U39" s="36" t="s">
        <v>7</v>
      </c>
      <c r="V39" s="207" t="s">
        <v>128</v>
      </c>
      <c r="W39" s="207"/>
      <c r="X39" s="207"/>
      <c r="Y39" s="207"/>
      <c r="Z39" s="207"/>
      <c r="AA39" s="207"/>
      <c r="AB39" s="207"/>
      <c r="AC39" s="207"/>
      <c r="AD39" s="207"/>
      <c r="AE39" s="207"/>
      <c r="AF39" s="402" t="s">
        <v>5</v>
      </c>
      <c r="AG39" s="402"/>
      <c r="AH39" s="207" t="s">
        <v>69</v>
      </c>
      <c r="AI39" s="207"/>
      <c r="AJ39" s="207"/>
      <c r="AK39" s="207" t="s">
        <v>308</v>
      </c>
      <c r="AL39" s="207"/>
      <c r="AM39" s="207"/>
      <c r="AN39" s="207" t="s">
        <v>309</v>
      </c>
      <c r="AO39" s="207"/>
      <c r="AP39" s="207"/>
      <c r="AQ39" s="207" t="s">
        <v>310</v>
      </c>
      <c r="AR39" s="207"/>
      <c r="AS39" s="207"/>
    </row>
    <row r="40" spans="1:45" ht="15.75" customHeight="1">
      <c r="A40" s="38">
        <v>1</v>
      </c>
      <c r="B40" s="198" t="s">
        <v>141</v>
      </c>
      <c r="C40" s="198"/>
      <c r="D40" s="198"/>
      <c r="E40" s="198"/>
      <c r="F40" s="198"/>
      <c r="G40" s="198"/>
      <c r="H40" s="198"/>
      <c r="I40" s="198"/>
      <c r="J40" s="199" t="s">
        <v>39</v>
      </c>
      <c r="K40" s="199"/>
      <c r="L40" s="494">
        <f>SUM(P28,-P59,AH46)</f>
        <v>0</v>
      </c>
      <c r="M40" s="494"/>
      <c r="N40" s="494"/>
      <c r="O40" s="495">
        <f>SUM(L43:N45)</f>
        <v>0</v>
      </c>
      <c r="P40" s="496"/>
      <c r="Q40" s="496"/>
      <c r="R40" s="497"/>
      <c r="S40" s="14"/>
      <c r="T40" s="14"/>
      <c r="U40" s="38">
        <v>1</v>
      </c>
      <c r="V40" s="419" t="s">
        <v>115</v>
      </c>
      <c r="W40" s="419"/>
      <c r="X40" s="419"/>
      <c r="Y40" s="419"/>
      <c r="Z40" s="419"/>
      <c r="AA40" s="419"/>
      <c r="AB40" s="419"/>
      <c r="AC40" s="419"/>
      <c r="AD40" s="419"/>
      <c r="AE40" s="419"/>
      <c r="AF40" s="199" t="s">
        <v>98</v>
      </c>
      <c r="AG40" s="199"/>
      <c r="AH40" s="128">
        <f>SUM(AK40:AS40)</f>
        <v>0</v>
      </c>
      <c r="AI40" s="128"/>
      <c r="AJ40" s="128"/>
      <c r="AK40" s="200"/>
      <c r="AL40" s="200"/>
      <c r="AM40" s="200"/>
      <c r="AN40" s="200"/>
      <c r="AO40" s="200"/>
      <c r="AP40" s="200"/>
      <c r="AQ40" s="200"/>
      <c r="AR40" s="200"/>
      <c r="AS40" s="200"/>
    </row>
    <row r="41" spans="1:45" ht="15.75" customHeight="1" thickBot="1">
      <c r="A41" s="38">
        <v>2</v>
      </c>
      <c r="B41" s="198" t="s">
        <v>140</v>
      </c>
      <c r="C41" s="198"/>
      <c r="D41" s="198"/>
      <c r="E41" s="198"/>
      <c r="F41" s="198"/>
      <c r="G41" s="198"/>
      <c r="H41" s="198"/>
      <c r="I41" s="198"/>
      <c r="J41" s="199" t="s">
        <v>39</v>
      </c>
      <c r="K41" s="199"/>
      <c r="L41" s="485">
        <f>SUM(L40,-L42)</f>
        <v>0</v>
      </c>
      <c r="M41" s="485"/>
      <c r="N41" s="485"/>
      <c r="O41" s="14"/>
      <c r="P41" s="14"/>
      <c r="Q41" s="14"/>
      <c r="R41" s="14"/>
      <c r="S41" s="14"/>
      <c r="T41" s="14"/>
      <c r="U41" s="39">
        <v>2</v>
      </c>
      <c r="V41" s="486" t="s">
        <v>139</v>
      </c>
      <c r="W41" s="486"/>
      <c r="X41" s="486"/>
      <c r="Y41" s="486"/>
      <c r="Z41" s="486"/>
      <c r="AA41" s="486"/>
      <c r="AB41" s="486"/>
      <c r="AC41" s="486"/>
      <c r="AD41" s="486"/>
      <c r="AE41" s="486"/>
      <c r="AF41" s="487" t="s">
        <v>120</v>
      </c>
      <c r="AG41" s="487"/>
      <c r="AH41" s="488">
        <f>SUM(AK41:AS41)</f>
        <v>0</v>
      </c>
      <c r="AI41" s="488"/>
      <c r="AJ41" s="488"/>
      <c r="AK41" s="489"/>
      <c r="AL41" s="489"/>
      <c r="AM41" s="489"/>
      <c r="AN41" s="490"/>
      <c r="AO41" s="490"/>
      <c r="AP41" s="490"/>
      <c r="AQ41" s="490"/>
      <c r="AR41" s="490"/>
      <c r="AS41" s="490"/>
    </row>
    <row r="42" spans="1:45" ht="15.75" customHeight="1">
      <c r="A42" s="38">
        <v>3</v>
      </c>
      <c r="B42" s="198" t="s">
        <v>138</v>
      </c>
      <c r="C42" s="198"/>
      <c r="D42" s="198"/>
      <c r="E42" s="198"/>
      <c r="F42" s="198"/>
      <c r="G42" s="198"/>
      <c r="H42" s="198"/>
      <c r="I42" s="198"/>
      <c r="J42" s="199" t="s">
        <v>39</v>
      </c>
      <c r="K42" s="199"/>
      <c r="L42" s="467"/>
      <c r="M42" s="467"/>
      <c r="N42" s="467"/>
      <c r="O42" s="14"/>
      <c r="P42" s="14"/>
      <c r="Q42" s="14"/>
      <c r="R42" s="14"/>
      <c r="S42" s="14"/>
      <c r="T42" s="14"/>
      <c r="U42" s="40">
        <v>3</v>
      </c>
      <c r="V42" s="493" t="s">
        <v>137</v>
      </c>
      <c r="W42" s="493"/>
      <c r="X42" s="493"/>
      <c r="Y42" s="493"/>
      <c r="Z42" s="493"/>
      <c r="AA42" s="493"/>
      <c r="AB42" s="493"/>
      <c r="AC42" s="493"/>
      <c r="AD42" s="493"/>
      <c r="AE42" s="493"/>
      <c r="AF42" s="492" t="s">
        <v>1</v>
      </c>
      <c r="AG42" s="492"/>
      <c r="AH42" s="491">
        <f>SUM(AK42:AS42)</f>
        <v>0</v>
      </c>
      <c r="AI42" s="491"/>
      <c r="AJ42" s="491"/>
      <c r="AK42" s="475"/>
      <c r="AL42" s="475"/>
      <c r="AM42" s="475"/>
      <c r="AN42" s="476"/>
      <c r="AO42" s="476"/>
      <c r="AP42" s="476"/>
      <c r="AQ42" s="476"/>
      <c r="AR42" s="476"/>
      <c r="AS42" s="476"/>
    </row>
    <row r="43" spans="1:45" ht="15.75" customHeight="1">
      <c r="A43" s="38">
        <v>4</v>
      </c>
      <c r="B43" s="203" t="s">
        <v>136</v>
      </c>
      <c r="C43" s="203"/>
      <c r="D43" s="203"/>
      <c r="E43" s="203"/>
      <c r="F43" s="203"/>
      <c r="G43" s="203"/>
      <c r="H43" s="203"/>
      <c r="I43" s="203"/>
      <c r="J43" s="199" t="s">
        <v>1</v>
      </c>
      <c r="K43" s="199"/>
      <c r="L43" s="467"/>
      <c r="M43" s="467"/>
      <c r="N43" s="467"/>
      <c r="O43" s="468"/>
      <c r="P43" s="468"/>
      <c r="Q43" s="468"/>
      <c r="R43" s="14"/>
      <c r="S43" s="14"/>
      <c r="T43" s="14"/>
      <c r="U43" s="41">
        <v>4</v>
      </c>
      <c r="V43" s="481" t="s">
        <v>135</v>
      </c>
      <c r="W43" s="481"/>
      <c r="X43" s="481"/>
      <c r="Y43" s="481"/>
      <c r="Z43" s="481"/>
      <c r="AA43" s="481"/>
      <c r="AB43" s="481"/>
      <c r="AC43" s="481"/>
      <c r="AD43" s="481"/>
      <c r="AE43" s="481"/>
      <c r="AF43" s="482" t="s">
        <v>134</v>
      </c>
      <c r="AG43" s="482"/>
      <c r="AH43" s="480">
        <f>SUM(AK43:AS43)</f>
        <v>0</v>
      </c>
      <c r="AI43" s="480"/>
      <c r="AJ43" s="480"/>
      <c r="AK43" s="200"/>
      <c r="AL43" s="200"/>
      <c r="AM43" s="200"/>
      <c r="AN43" s="479"/>
      <c r="AO43" s="479"/>
      <c r="AP43" s="479"/>
      <c r="AQ43" s="479"/>
      <c r="AR43" s="479"/>
      <c r="AS43" s="479"/>
    </row>
    <row r="44" spans="1:45" ht="15.75" customHeight="1">
      <c r="A44" s="38">
        <v>5</v>
      </c>
      <c r="B44" s="203" t="s">
        <v>133</v>
      </c>
      <c r="C44" s="203"/>
      <c r="D44" s="203"/>
      <c r="E44" s="203"/>
      <c r="F44" s="203"/>
      <c r="G44" s="203"/>
      <c r="H44" s="203"/>
      <c r="I44" s="203"/>
      <c r="J44" s="199" t="s">
        <v>1</v>
      </c>
      <c r="K44" s="199"/>
      <c r="L44" s="467"/>
      <c r="M44" s="467"/>
      <c r="N44" s="467"/>
      <c r="O44" s="468"/>
      <c r="P44" s="468"/>
      <c r="Q44" s="468"/>
      <c r="U44" s="41">
        <v>5</v>
      </c>
      <c r="V44" s="481" t="s">
        <v>132</v>
      </c>
      <c r="W44" s="481"/>
      <c r="X44" s="481"/>
      <c r="Y44" s="481"/>
      <c r="Z44" s="481"/>
      <c r="AA44" s="481"/>
      <c r="AB44" s="481"/>
      <c r="AC44" s="481"/>
      <c r="AD44" s="481"/>
      <c r="AE44" s="481"/>
      <c r="AF44" s="482" t="s">
        <v>2</v>
      </c>
      <c r="AG44" s="482"/>
      <c r="AH44" s="483">
        <f>ROUND(IF($AH$43=0,0,SUMPRODUCT($AK$43:$AS$43,AK44:AS44)/$AH$43),1)</f>
        <v>0</v>
      </c>
      <c r="AI44" s="483"/>
      <c r="AJ44" s="483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spans="1:45" ht="15.75" customHeight="1" thickBot="1">
      <c r="A45" s="38">
        <v>6</v>
      </c>
      <c r="B45" s="203" t="s">
        <v>131</v>
      </c>
      <c r="C45" s="203"/>
      <c r="D45" s="203"/>
      <c r="E45" s="203"/>
      <c r="F45" s="203"/>
      <c r="G45" s="203"/>
      <c r="H45" s="203"/>
      <c r="I45" s="203"/>
      <c r="J45" s="199" t="s">
        <v>1</v>
      </c>
      <c r="K45" s="199"/>
      <c r="L45" s="467"/>
      <c r="M45" s="467"/>
      <c r="N45" s="467"/>
      <c r="O45" s="468"/>
      <c r="P45" s="468"/>
      <c r="Q45" s="468"/>
      <c r="R45" s="14"/>
      <c r="U45" s="42">
        <v>6</v>
      </c>
      <c r="V45" s="469" t="s">
        <v>130</v>
      </c>
      <c r="W45" s="469"/>
      <c r="X45" s="469"/>
      <c r="Y45" s="469"/>
      <c r="Z45" s="469"/>
      <c r="AA45" s="469"/>
      <c r="AB45" s="469"/>
      <c r="AC45" s="469"/>
      <c r="AD45" s="469"/>
      <c r="AE45" s="469"/>
      <c r="AF45" s="470" t="s">
        <v>2</v>
      </c>
      <c r="AG45" s="470"/>
      <c r="AH45" s="471">
        <f>ROUND(IF($AH$43=0,0,SUMPRODUCT($AK$43:$AS$43,AK45:AS45)/$AH$43),1)</f>
        <v>0</v>
      </c>
      <c r="AI45" s="471"/>
      <c r="AJ45" s="471"/>
      <c r="AK45" s="448"/>
      <c r="AL45" s="448"/>
      <c r="AM45" s="448"/>
      <c r="AN45" s="448"/>
      <c r="AO45" s="448"/>
      <c r="AP45" s="448"/>
      <c r="AQ45" s="448"/>
      <c r="AR45" s="448"/>
      <c r="AS45" s="448"/>
    </row>
    <row r="46" spans="1:45" ht="15.75" customHeight="1">
      <c r="U46" s="43">
        <v>7</v>
      </c>
      <c r="V46" s="472" t="s">
        <v>129</v>
      </c>
      <c r="W46" s="472"/>
      <c r="X46" s="472"/>
      <c r="Y46" s="472"/>
      <c r="Z46" s="472"/>
      <c r="AA46" s="472"/>
      <c r="AB46" s="472"/>
      <c r="AC46" s="472"/>
      <c r="AD46" s="472"/>
      <c r="AE46" s="472"/>
      <c r="AF46" s="473" t="s">
        <v>39</v>
      </c>
      <c r="AG46" s="473"/>
      <c r="AH46" s="474">
        <f>SUM(AK46:AS46)</f>
        <v>0</v>
      </c>
      <c r="AI46" s="474"/>
      <c r="AJ46" s="474"/>
      <c r="AK46" s="475"/>
      <c r="AL46" s="475"/>
      <c r="AM46" s="475"/>
      <c r="AN46" s="476"/>
      <c r="AO46" s="476"/>
      <c r="AP46" s="476"/>
      <c r="AQ46" s="476"/>
      <c r="AR46" s="476"/>
      <c r="AS46" s="476"/>
    </row>
    <row r="47" spans="1:45" ht="15.75" customHeight="1">
      <c r="A47" s="47" t="s">
        <v>7</v>
      </c>
      <c r="B47" s="421" t="s">
        <v>128</v>
      </c>
      <c r="C47" s="421"/>
      <c r="D47" s="421"/>
      <c r="E47" s="421"/>
      <c r="F47" s="421"/>
      <c r="G47" s="421"/>
      <c r="H47" s="421"/>
      <c r="I47" s="421"/>
      <c r="J47" s="477" t="s">
        <v>5</v>
      </c>
      <c r="K47" s="477"/>
      <c r="L47" s="421" t="s">
        <v>69</v>
      </c>
      <c r="M47" s="421"/>
      <c r="N47" s="421"/>
      <c r="O47" s="421" t="s">
        <v>127</v>
      </c>
      <c r="P47" s="421"/>
      <c r="Q47" s="421"/>
      <c r="R47" s="421" t="s">
        <v>126</v>
      </c>
      <c r="S47" s="421"/>
      <c r="T47" s="421"/>
      <c r="U47" s="44">
        <v>8</v>
      </c>
      <c r="V47" s="201" t="s">
        <v>125</v>
      </c>
      <c r="W47" s="201"/>
      <c r="X47" s="201"/>
      <c r="Y47" s="201"/>
      <c r="Z47" s="201"/>
      <c r="AA47" s="201"/>
      <c r="AB47" s="201"/>
      <c r="AC47" s="201"/>
      <c r="AD47" s="201"/>
      <c r="AE47" s="201"/>
      <c r="AF47" s="202" t="s">
        <v>1</v>
      </c>
      <c r="AG47" s="202"/>
      <c r="AH47" s="478">
        <f>SUM(AK47:AS47)</f>
        <v>0</v>
      </c>
      <c r="AI47" s="478"/>
      <c r="AJ47" s="478"/>
      <c r="AK47" s="200"/>
      <c r="AL47" s="200"/>
      <c r="AM47" s="200"/>
      <c r="AN47" s="479"/>
      <c r="AO47" s="479"/>
      <c r="AP47" s="479"/>
      <c r="AQ47" s="479"/>
      <c r="AR47" s="479"/>
      <c r="AS47" s="479"/>
    </row>
    <row r="48" spans="1:45" ht="15.75" customHeight="1">
      <c r="A48" s="48">
        <v>1</v>
      </c>
      <c r="B48" s="208" t="s">
        <v>115</v>
      </c>
      <c r="C48" s="208"/>
      <c r="D48" s="208"/>
      <c r="E48" s="208"/>
      <c r="F48" s="208"/>
      <c r="G48" s="208"/>
      <c r="H48" s="208"/>
      <c r="I48" s="208"/>
      <c r="J48" s="213" t="s">
        <v>98</v>
      </c>
      <c r="K48" s="213"/>
      <c r="L48" s="214">
        <f>IF($AS$1&lt;&gt;2,0,ROUND(SUM(O48,R48),0))</f>
        <v>0</v>
      </c>
      <c r="M48" s="214"/>
      <c r="N48" s="214"/>
      <c r="O48" s="200"/>
      <c r="P48" s="200"/>
      <c r="Q48" s="200"/>
      <c r="R48" s="200"/>
      <c r="S48" s="200"/>
      <c r="T48" s="200"/>
      <c r="U48" s="44">
        <v>9</v>
      </c>
      <c r="V48" s="201" t="s">
        <v>124</v>
      </c>
      <c r="W48" s="201"/>
      <c r="X48" s="201"/>
      <c r="Y48" s="201"/>
      <c r="Z48" s="201"/>
      <c r="AA48" s="201"/>
      <c r="AB48" s="201"/>
      <c r="AC48" s="201"/>
      <c r="AD48" s="201"/>
      <c r="AE48" s="201"/>
      <c r="AF48" s="484" t="s">
        <v>103</v>
      </c>
      <c r="AG48" s="484"/>
      <c r="AH48" s="466">
        <f>ROUND(IF($AH$46=0,0,SUMPRODUCT($AK$46:$AS$46,AK48:AS48)/$AH$46),1)</f>
        <v>0</v>
      </c>
      <c r="AI48" s="466"/>
      <c r="AJ48" s="466"/>
      <c r="AK48" s="211"/>
      <c r="AL48" s="211"/>
      <c r="AM48" s="211"/>
      <c r="AN48" s="211"/>
      <c r="AO48" s="211"/>
      <c r="AP48" s="211"/>
      <c r="AQ48" s="211"/>
      <c r="AR48" s="211"/>
      <c r="AS48" s="211"/>
    </row>
    <row r="49" spans="1:45" ht="15.75" customHeight="1">
      <c r="A49" s="48">
        <v>2</v>
      </c>
      <c r="B49" s="212" t="s">
        <v>123</v>
      </c>
      <c r="C49" s="212"/>
      <c r="D49" s="212"/>
      <c r="E49" s="212"/>
      <c r="F49" s="212"/>
      <c r="G49" s="212"/>
      <c r="H49" s="212"/>
      <c r="I49" s="212"/>
      <c r="J49" s="213" t="s">
        <v>1</v>
      </c>
      <c r="K49" s="213"/>
      <c r="L49" s="214">
        <f>IF($AS$1&lt;&gt;2,0,ROUND(SUM(O49,R49),3))</f>
        <v>0</v>
      </c>
      <c r="M49" s="214"/>
      <c r="N49" s="214"/>
      <c r="O49" s="200"/>
      <c r="P49" s="200"/>
      <c r="Q49" s="200"/>
      <c r="R49" s="200"/>
      <c r="S49" s="200"/>
      <c r="T49" s="200"/>
      <c r="U49" s="44">
        <v>10</v>
      </c>
      <c r="V49" s="201" t="s">
        <v>122</v>
      </c>
      <c r="W49" s="201"/>
      <c r="X49" s="201"/>
      <c r="Y49" s="201"/>
      <c r="Z49" s="201"/>
      <c r="AA49" s="201"/>
      <c r="AB49" s="201"/>
      <c r="AC49" s="201"/>
      <c r="AD49" s="201"/>
      <c r="AE49" s="201"/>
      <c r="AF49" s="202" t="s">
        <v>2</v>
      </c>
      <c r="AG49" s="202"/>
      <c r="AH49" s="466">
        <f>ROUND(IF($AH$46=0,0,SUMPRODUCT($AK$46:$AS$46,AK49:AS49)/$AH$46),1)</f>
        <v>0</v>
      </c>
      <c r="AI49" s="466"/>
      <c r="AJ49" s="466"/>
      <c r="AK49" s="211"/>
      <c r="AL49" s="211"/>
      <c r="AM49" s="211"/>
      <c r="AN49" s="211"/>
      <c r="AO49" s="211"/>
      <c r="AP49" s="211"/>
      <c r="AQ49" s="211"/>
      <c r="AR49" s="211"/>
      <c r="AS49" s="211"/>
    </row>
    <row r="50" spans="1:45" ht="15.75" customHeight="1" thickBot="1">
      <c r="A50" s="48">
        <v>3</v>
      </c>
      <c r="B50" s="208" t="s">
        <v>121</v>
      </c>
      <c r="C50" s="208"/>
      <c r="D50" s="208"/>
      <c r="E50" s="208"/>
      <c r="F50" s="208"/>
      <c r="G50" s="208"/>
      <c r="H50" s="208"/>
      <c r="I50" s="208"/>
      <c r="J50" s="213" t="s">
        <v>120</v>
      </c>
      <c r="K50" s="213"/>
      <c r="L50" s="214">
        <f>IF($AS$1&lt;&gt;2,0,ROUND(SUM(O50,R50),3))</f>
        <v>0</v>
      </c>
      <c r="M50" s="214"/>
      <c r="N50" s="214"/>
      <c r="O50" s="200"/>
      <c r="P50" s="200"/>
      <c r="Q50" s="200"/>
      <c r="R50" s="200"/>
      <c r="S50" s="200"/>
      <c r="T50" s="200"/>
      <c r="U50" s="45">
        <v>11</v>
      </c>
      <c r="V50" s="445" t="s">
        <v>119</v>
      </c>
      <c r="W50" s="445"/>
      <c r="X50" s="445"/>
      <c r="Y50" s="445"/>
      <c r="Z50" s="445"/>
      <c r="AA50" s="445"/>
      <c r="AB50" s="445"/>
      <c r="AC50" s="445"/>
      <c r="AD50" s="445"/>
      <c r="AE50" s="445"/>
      <c r="AF50" s="446" t="s">
        <v>2</v>
      </c>
      <c r="AG50" s="446"/>
      <c r="AH50" s="447">
        <f>ROUND(IF($AH$46=0,0,SUMPRODUCT($AK$46:$AS$46,AK50:AS50)/$AH$46),1)</f>
        <v>0</v>
      </c>
      <c r="AI50" s="447"/>
      <c r="AJ50" s="447"/>
      <c r="AK50" s="448"/>
      <c r="AL50" s="448"/>
      <c r="AM50" s="448"/>
      <c r="AN50" s="448"/>
      <c r="AO50" s="448"/>
      <c r="AP50" s="448"/>
      <c r="AQ50" s="448"/>
      <c r="AR50" s="448"/>
      <c r="AS50" s="448"/>
    </row>
    <row r="51" spans="1:45" ht="15.75" customHeight="1">
      <c r="A51" s="49">
        <v>4</v>
      </c>
      <c r="B51" s="449" t="s">
        <v>116</v>
      </c>
      <c r="C51" s="449"/>
      <c r="D51" s="449"/>
      <c r="E51" s="449"/>
      <c r="F51" s="449"/>
      <c r="G51" s="449"/>
      <c r="H51" s="449"/>
      <c r="I51" s="449"/>
      <c r="J51" s="450" t="s">
        <v>4</v>
      </c>
      <c r="K51" s="450"/>
      <c r="L51" s="451">
        <f>IF($AS$1&lt;&gt;2,0,ROUND(SUM(O51,R51),1))</f>
        <v>0</v>
      </c>
      <c r="M51" s="452"/>
      <c r="N51" s="453"/>
      <c r="O51" s="454"/>
      <c r="P51" s="454"/>
      <c r="Q51" s="454"/>
      <c r="R51" s="454"/>
      <c r="S51" s="454"/>
      <c r="T51" s="454"/>
      <c r="U51" s="46">
        <v>12</v>
      </c>
      <c r="V51" s="455" t="s">
        <v>118</v>
      </c>
      <c r="W51" s="455"/>
      <c r="X51" s="455"/>
      <c r="Y51" s="455"/>
      <c r="Z51" s="455"/>
      <c r="AA51" s="455"/>
      <c r="AB51" s="455"/>
      <c r="AC51" s="455"/>
      <c r="AD51" s="455"/>
      <c r="AE51" s="455"/>
      <c r="AF51" s="456" t="s">
        <v>2</v>
      </c>
      <c r="AG51" s="456"/>
      <c r="AH51" s="457">
        <f>ROUND(IF($AH$46=0,0,SUMPRODUCT($AK$46:$AS$46,AK51:AS51)/$AH$46),1)</f>
        <v>0</v>
      </c>
      <c r="AI51" s="457"/>
      <c r="AJ51" s="457"/>
      <c r="AK51" s="458"/>
      <c r="AL51" s="458"/>
      <c r="AM51" s="458"/>
      <c r="AN51" s="458"/>
      <c r="AO51" s="458"/>
      <c r="AP51" s="458"/>
      <c r="AQ51" s="458"/>
      <c r="AR51" s="458"/>
      <c r="AS51" s="458"/>
    </row>
    <row r="52" spans="1:45" ht="15.75" customHeight="1">
      <c r="A52" s="51">
        <v>5</v>
      </c>
      <c r="B52" s="459" t="s">
        <v>369</v>
      </c>
      <c r="C52" s="460"/>
      <c r="D52" s="460"/>
      <c r="E52" s="460"/>
      <c r="F52" s="460"/>
      <c r="G52" s="460"/>
      <c r="H52" s="460"/>
      <c r="I52" s="460"/>
      <c r="J52" s="461" t="s">
        <v>47</v>
      </c>
      <c r="K52" s="462"/>
      <c r="L52" s="463" t="s">
        <v>47</v>
      </c>
      <c r="M52" s="464"/>
      <c r="N52" s="465"/>
      <c r="O52" s="127"/>
      <c r="P52" s="127"/>
      <c r="Q52" s="127"/>
      <c r="R52" s="127"/>
      <c r="S52" s="127"/>
      <c r="T52" s="127"/>
    </row>
    <row r="53" spans="1:45" s="14" customFormat="1" ht="15.75" customHeight="1">
      <c r="A53" s="50" t="s">
        <v>7</v>
      </c>
      <c r="B53" s="436" t="s">
        <v>19</v>
      </c>
      <c r="C53" s="436"/>
      <c r="D53" s="436"/>
      <c r="E53" s="436"/>
      <c r="F53" s="436"/>
      <c r="G53" s="436"/>
      <c r="H53" s="436"/>
      <c r="I53" s="436"/>
      <c r="J53" s="436"/>
      <c r="K53" s="436"/>
      <c r="L53" s="436"/>
      <c r="M53" s="436"/>
      <c r="N53" s="437" t="s">
        <v>5</v>
      </c>
      <c r="O53" s="437"/>
      <c r="P53" s="436" t="s">
        <v>69</v>
      </c>
      <c r="Q53" s="436"/>
      <c r="R53" s="436"/>
      <c r="S53" s="436" t="s">
        <v>92</v>
      </c>
      <c r="T53" s="436"/>
      <c r="U53" s="207"/>
      <c r="V53" s="207" t="s">
        <v>91</v>
      </c>
      <c r="W53" s="207"/>
      <c r="X53" s="207"/>
      <c r="Y53" s="207" t="s">
        <v>90</v>
      </c>
      <c r="Z53" s="207"/>
      <c r="AA53" s="207"/>
      <c r="AB53" s="207" t="s">
        <v>89</v>
      </c>
      <c r="AC53" s="207"/>
      <c r="AD53" s="207"/>
      <c r="AE53" s="207" t="s">
        <v>88</v>
      </c>
      <c r="AF53" s="207"/>
      <c r="AG53" s="207"/>
      <c r="AH53" s="207" t="s">
        <v>87</v>
      </c>
      <c r="AI53" s="207"/>
      <c r="AJ53" s="207"/>
      <c r="AK53" s="207" t="s">
        <v>86</v>
      </c>
      <c r="AL53" s="207"/>
      <c r="AM53" s="207"/>
      <c r="AN53" s="207" t="s">
        <v>85</v>
      </c>
      <c r="AO53" s="207"/>
      <c r="AP53" s="207"/>
      <c r="AQ53" s="207" t="s">
        <v>84</v>
      </c>
      <c r="AR53" s="207"/>
      <c r="AS53" s="207"/>
    </row>
    <row r="54" spans="1:45" s="14" customFormat="1" ht="15.75" customHeight="1">
      <c r="A54" s="37">
        <v>1</v>
      </c>
      <c r="B54" s="129" t="s">
        <v>117</v>
      </c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34" t="s">
        <v>47</v>
      </c>
      <c r="O54" s="438"/>
      <c r="P54" s="128" t="s">
        <v>47</v>
      </c>
      <c r="Q54" s="128"/>
      <c r="R54" s="128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442"/>
      <c r="AI54" s="443"/>
      <c r="AJ54" s="444"/>
      <c r="AK54" s="442"/>
      <c r="AL54" s="443"/>
      <c r="AM54" s="444"/>
      <c r="AN54" s="442"/>
      <c r="AO54" s="443"/>
      <c r="AP54" s="444"/>
      <c r="AQ54" s="127"/>
      <c r="AR54" s="127"/>
      <c r="AS54" s="127"/>
    </row>
    <row r="55" spans="1:45" s="14" customFormat="1" ht="15.75" customHeight="1">
      <c r="A55" s="37">
        <v>2</v>
      </c>
      <c r="B55" s="129" t="s">
        <v>368</v>
      </c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34" t="s">
        <v>47</v>
      </c>
      <c r="O55" s="438"/>
      <c r="P55" s="128" t="s">
        <v>47</v>
      </c>
      <c r="Q55" s="128"/>
      <c r="R55" s="128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</row>
    <row r="56" spans="1:45" s="14" customFormat="1" ht="15.75" customHeight="1">
      <c r="A56" s="37">
        <v>3</v>
      </c>
      <c r="B56" s="439" t="s">
        <v>116</v>
      </c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134" t="s">
        <v>4</v>
      </c>
      <c r="O56" s="134"/>
      <c r="P56" s="440">
        <f>ROUND(SUM(S56:AS56),1)</f>
        <v>0</v>
      </c>
      <c r="Q56" s="440"/>
      <c r="R56" s="440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  <c r="AE56" s="441"/>
      <c r="AF56" s="441"/>
      <c r="AG56" s="441"/>
      <c r="AH56" s="441"/>
      <c r="AI56" s="441"/>
      <c r="AJ56" s="441"/>
      <c r="AK56" s="441"/>
      <c r="AL56" s="441"/>
      <c r="AM56" s="441"/>
      <c r="AN56" s="441"/>
      <c r="AO56" s="441"/>
      <c r="AP56" s="441"/>
      <c r="AQ56" s="441"/>
      <c r="AR56" s="441"/>
      <c r="AS56" s="441"/>
    </row>
    <row r="57" spans="1:45" s="14" customFormat="1" ht="15.75" customHeight="1">
      <c r="A57" s="37">
        <v>4</v>
      </c>
      <c r="B57" s="413" t="s">
        <v>370</v>
      </c>
      <c r="C57" s="413"/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134" t="s">
        <v>24</v>
      </c>
      <c r="O57" s="134"/>
      <c r="P57" s="126">
        <f>IF($AS$1=0,0,IF($AS$1=1,IF(SUM(M$86:AM$86)=0,0,SUMPRODUCT(S$57:AS$57,M$86:AM$86)/SUM(M$86:AM$86)),IF($AS$1=2,"-",)))</f>
        <v>0</v>
      </c>
      <c r="Q57" s="126"/>
      <c r="R57" s="126"/>
      <c r="S57" s="432">
        <f>IF(S54&lt;1,0,IF(S54=1,0.8,IF(S54=2,0.75)))</f>
        <v>0</v>
      </c>
      <c r="T57" s="432"/>
      <c r="U57" s="432"/>
      <c r="V57" s="432">
        <f t="shared" ref="V57" si="12">IF(V54&lt;1,0,IF(V54=1,0.8,IF(V54=2,0.75)))</f>
        <v>0</v>
      </c>
      <c r="W57" s="432"/>
      <c r="X57" s="432"/>
      <c r="Y57" s="432">
        <f t="shared" ref="Y57" si="13">IF(Y54&lt;1,0,IF(Y54=1,0.8,IF(Y54=2,0.75)))</f>
        <v>0</v>
      </c>
      <c r="Z57" s="432"/>
      <c r="AA57" s="432"/>
      <c r="AB57" s="432">
        <f t="shared" ref="AB57" si="14">IF(AB54&lt;1,0,IF(AB54=1,0.8,IF(AB54=2,0.75)))</f>
        <v>0</v>
      </c>
      <c r="AC57" s="432"/>
      <c r="AD57" s="432"/>
      <c r="AE57" s="432">
        <f t="shared" ref="AE57" si="15">IF(AE54&lt;1,0,IF(AE54=1,0.8,IF(AE54=2,0.75)))</f>
        <v>0</v>
      </c>
      <c r="AF57" s="432"/>
      <c r="AG57" s="432"/>
      <c r="AH57" s="432">
        <f t="shared" ref="AH57" si="16">IF(AH54&lt;1,0,IF(AH54=1,0.8,IF(AH54=2,0.75)))</f>
        <v>0</v>
      </c>
      <c r="AI57" s="432"/>
      <c r="AJ57" s="432"/>
      <c r="AK57" s="432">
        <f t="shared" ref="AK57" si="17">IF(AK54&lt;1,0,IF(AK54=1,0.8,IF(AK54=2,0.75)))</f>
        <v>0</v>
      </c>
      <c r="AL57" s="432"/>
      <c r="AM57" s="432"/>
      <c r="AN57" s="432">
        <f t="shared" ref="AN57" si="18">IF(AN54&lt;1,0,IF(AN54=1,0.8,IF(AN54=2,0.75)))</f>
        <v>0</v>
      </c>
      <c r="AO57" s="432"/>
      <c r="AP57" s="432"/>
      <c r="AQ57" s="432">
        <f t="shared" ref="AQ57" si="19">IF(AQ54&lt;1,0,IF(AQ54=1,0.8,IF(AQ54=2,0.75)))</f>
        <v>0</v>
      </c>
      <c r="AR57" s="432"/>
      <c r="AS57" s="432"/>
    </row>
    <row r="58" spans="1:45" s="14" customFormat="1" ht="15.75" customHeight="1">
      <c r="A58" s="37">
        <v>5</v>
      </c>
      <c r="B58" s="419" t="s">
        <v>115</v>
      </c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199" t="s">
        <v>98</v>
      </c>
      <c r="O58" s="199"/>
      <c r="P58" s="128">
        <f>SUM(S58:AS58)</f>
        <v>0</v>
      </c>
      <c r="Q58" s="128"/>
      <c r="R58" s="128"/>
      <c r="S58" s="433"/>
      <c r="T58" s="434"/>
      <c r="U58" s="435"/>
      <c r="V58" s="433"/>
      <c r="W58" s="434"/>
      <c r="X58" s="435"/>
      <c r="Y58" s="433"/>
      <c r="Z58" s="434"/>
      <c r="AA58" s="435"/>
      <c r="AB58" s="433"/>
      <c r="AC58" s="434"/>
      <c r="AD58" s="435"/>
      <c r="AE58" s="433"/>
      <c r="AF58" s="434"/>
      <c r="AG58" s="435"/>
      <c r="AH58" s="433"/>
      <c r="AI58" s="434"/>
      <c r="AJ58" s="435"/>
      <c r="AK58" s="433"/>
      <c r="AL58" s="434"/>
      <c r="AM58" s="435"/>
      <c r="AN58" s="433"/>
      <c r="AO58" s="434"/>
      <c r="AP58" s="435"/>
      <c r="AQ58" s="433"/>
      <c r="AR58" s="434"/>
      <c r="AS58" s="435"/>
    </row>
    <row r="59" spans="1:45" s="14" customFormat="1" ht="15.75" customHeight="1">
      <c r="A59" s="37">
        <v>6</v>
      </c>
      <c r="B59" s="419" t="s">
        <v>114</v>
      </c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199" t="s">
        <v>39</v>
      </c>
      <c r="O59" s="199"/>
      <c r="P59" s="128">
        <f>SUM(S59:AS59)</f>
        <v>0</v>
      </c>
      <c r="Q59" s="128"/>
      <c r="R59" s="128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</row>
    <row r="60" spans="1:45" s="14" customFormat="1" ht="15.75" customHeight="1">
      <c r="A60" s="37">
        <v>7</v>
      </c>
      <c r="B60" s="419" t="s">
        <v>113</v>
      </c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199" t="s">
        <v>103</v>
      </c>
      <c r="O60" s="199"/>
      <c r="P60" s="431">
        <f>IF(P$59=0,0,SUMPRODUCT($S$59:$AS$59,S60:AS60)/P$59)</f>
        <v>0</v>
      </c>
      <c r="Q60" s="431"/>
      <c r="R60" s="43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</row>
    <row r="61" spans="1:45" s="14" customFormat="1" ht="15.75" customHeight="1">
      <c r="A61" s="37">
        <v>8</v>
      </c>
      <c r="B61" s="419" t="s">
        <v>112</v>
      </c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199" t="s">
        <v>105</v>
      </c>
      <c r="O61" s="199"/>
      <c r="P61" s="428">
        <f>IF(P$59=0,0,SUMPRODUCT($S$59:$AS$59,S61:AS61)/P$59)</f>
        <v>0</v>
      </c>
      <c r="Q61" s="428"/>
      <c r="R61" s="428"/>
      <c r="S61" s="423"/>
      <c r="T61" s="423"/>
      <c r="U61" s="423"/>
      <c r="V61" s="423"/>
      <c r="W61" s="423"/>
      <c r="X61" s="423"/>
      <c r="Y61" s="423"/>
      <c r="Z61" s="423"/>
      <c r="AA61" s="423"/>
      <c r="AB61" s="423"/>
      <c r="AC61" s="423"/>
      <c r="AD61" s="423"/>
      <c r="AE61" s="423"/>
      <c r="AF61" s="423"/>
      <c r="AG61" s="423"/>
      <c r="AH61" s="423"/>
      <c r="AI61" s="423"/>
      <c r="AJ61" s="423"/>
      <c r="AK61" s="423"/>
      <c r="AL61" s="423"/>
      <c r="AM61" s="423"/>
      <c r="AN61" s="423"/>
      <c r="AO61" s="423"/>
      <c r="AP61" s="423"/>
      <c r="AQ61" s="423"/>
      <c r="AR61" s="423"/>
      <c r="AS61" s="423"/>
    </row>
    <row r="62" spans="1:45" s="14" customFormat="1" ht="15.75" customHeight="1">
      <c r="A62" s="37">
        <v>9</v>
      </c>
      <c r="B62" s="419" t="s">
        <v>111</v>
      </c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199" t="s">
        <v>39</v>
      </c>
      <c r="O62" s="199"/>
      <c r="P62" s="128">
        <f>SUM(S62:AS62)</f>
        <v>0</v>
      </c>
      <c r="Q62" s="128"/>
      <c r="R62" s="128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</row>
    <row r="63" spans="1:45" s="14" customFormat="1" ht="15.75" customHeight="1">
      <c r="A63" s="37">
        <v>10</v>
      </c>
      <c r="B63" s="419" t="s">
        <v>110</v>
      </c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199" t="s">
        <v>103</v>
      </c>
      <c r="O63" s="199"/>
      <c r="P63" s="428">
        <f>IF(P$62=0,0,SUMPRODUCT($S$62:$AS$62,S63:AS63)/P$62)</f>
        <v>0</v>
      </c>
      <c r="Q63" s="428"/>
      <c r="R63" s="428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3"/>
      <c r="AH63" s="423"/>
      <c r="AI63" s="423"/>
      <c r="AJ63" s="423"/>
      <c r="AK63" s="423"/>
      <c r="AL63" s="423"/>
      <c r="AM63" s="423"/>
      <c r="AN63" s="423"/>
      <c r="AO63" s="423"/>
      <c r="AP63" s="423"/>
      <c r="AQ63" s="423"/>
      <c r="AR63" s="423"/>
      <c r="AS63" s="423"/>
    </row>
    <row r="64" spans="1:45" s="14" customFormat="1" ht="15.75" customHeight="1">
      <c r="A64" s="37">
        <v>11</v>
      </c>
      <c r="B64" s="419" t="s">
        <v>109</v>
      </c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199" t="s">
        <v>105</v>
      </c>
      <c r="O64" s="199"/>
      <c r="P64" s="428">
        <f>IF(P$62=0,0,SUMPRODUCT($S$62:$AS$62,S64:AS64)/P$62)</f>
        <v>0</v>
      </c>
      <c r="Q64" s="428"/>
      <c r="R64" s="428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3"/>
      <c r="AG64" s="423"/>
      <c r="AH64" s="423"/>
      <c r="AI64" s="423"/>
      <c r="AJ64" s="423"/>
      <c r="AK64" s="423"/>
      <c r="AL64" s="423"/>
      <c r="AM64" s="423"/>
      <c r="AN64" s="423"/>
      <c r="AO64" s="423"/>
      <c r="AP64" s="423"/>
      <c r="AQ64" s="423"/>
      <c r="AR64" s="423"/>
      <c r="AS64" s="423"/>
    </row>
    <row r="65" spans="1:45" s="14" customFormat="1" ht="15.75" customHeight="1">
      <c r="A65" s="37">
        <v>12</v>
      </c>
      <c r="B65" s="419" t="s">
        <v>108</v>
      </c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199" t="s">
        <v>39</v>
      </c>
      <c r="O65" s="199"/>
      <c r="P65" s="128">
        <f>SUM(S65:AS65)</f>
        <v>0</v>
      </c>
      <c r="Q65" s="128"/>
      <c r="R65" s="128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430"/>
      <c r="AL65" s="430"/>
      <c r="AM65" s="430"/>
      <c r="AN65" s="200"/>
      <c r="AO65" s="200"/>
      <c r="AP65" s="200"/>
      <c r="AQ65" s="200"/>
      <c r="AR65" s="200"/>
      <c r="AS65" s="200"/>
    </row>
    <row r="66" spans="1:45" s="14" customFormat="1" ht="15.75" customHeight="1">
      <c r="A66" s="37">
        <v>13</v>
      </c>
      <c r="B66" s="419" t="s">
        <v>107</v>
      </c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199" t="s">
        <v>103</v>
      </c>
      <c r="O66" s="199"/>
      <c r="P66" s="428">
        <f>IF(P$65=0,0,SUMPRODUCT($S$65:$AS$65,S66:AS66)/P$65)</f>
        <v>0</v>
      </c>
      <c r="Q66" s="428"/>
      <c r="R66" s="428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9"/>
      <c r="AL66" s="429"/>
      <c r="AM66" s="429"/>
      <c r="AN66" s="423"/>
      <c r="AO66" s="423"/>
      <c r="AP66" s="423"/>
      <c r="AQ66" s="423"/>
      <c r="AR66" s="423"/>
      <c r="AS66" s="423"/>
    </row>
    <row r="67" spans="1:45" s="14" customFormat="1" ht="15.75" customHeight="1">
      <c r="A67" s="37">
        <v>14</v>
      </c>
      <c r="B67" s="419" t="s">
        <v>106</v>
      </c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199" t="s">
        <v>105</v>
      </c>
      <c r="O67" s="199"/>
      <c r="P67" s="428">
        <f>IF(P$65=0,0,SUMPRODUCT($S$65:$AS$65,S67:AS67)/P$65)</f>
        <v>0</v>
      </c>
      <c r="Q67" s="428"/>
      <c r="R67" s="428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  <c r="AJ67" s="423"/>
      <c r="AK67" s="429"/>
      <c r="AL67" s="429"/>
      <c r="AM67" s="429"/>
      <c r="AN67" s="423"/>
      <c r="AO67" s="423"/>
      <c r="AP67" s="423"/>
      <c r="AQ67" s="423"/>
      <c r="AR67" s="423"/>
      <c r="AS67" s="423"/>
    </row>
    <row r="68" spans="1:45" s="14" customFormat="1" ht="15.75" customHeight="1">
      <c r="A68" s="37">
        <v>15</v>
      </c>
      <c r="B68" s="419" t="s">
        <v>104</v>
      </c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199" t="s">
        <v>103</v>
      </c>
      <c r="O68" s="199"/>
      <c r="P68" s="128" t="s">
        <v>47</v>
      </c>
      <c r="Q68" s="128"/>
      <c r="R68" s="128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</row>
    <row r="69" spans="1:45" s="14" customFormat="1" ht="15.75" customHeight="1">
      <c r="A69" s="37">
        <v>16</v>
      </c>
      <c r="B69" s="419" t="s">
        <v>102</v>
      </c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199" t="s">
        <v>24</v>
      </c>
      <c r="O69" s="199"/>
      <c r="P69" s="128" t="s">
        <v>47</v>
      </c>
      <c r="Q69" s="128"/>
      <c r="R69" s="128"/>
      <c r="S69" s="427"/>
      <c r="T69" s="427"/>
      <c r="U69" s="427"/>
      <c r="V69" s="427"/>
      <c r="W69" s="427"/>
      <c r="X69" s="427"/>
      <c r="Y69" s="427"/>
      <c r="Z69" s="427"/>
      <c r="AA69" s="427"/>
      <c r="AB69" s="427"/>
      <c r="AC69" s="427"/>
      <c r="AD69" s="427"/>
      <c r="AE69" s="427"/>
      <c r="AF69" s="427"/>
      <c r="AG69" s="427"/>
      <c r="AH69" s="427"/>
      <c r="AI69" s="427"/>
      <c r="AJ69" s="427"/>
      <c r="AK69" s="427"/>
      <c r="AL69" s="427"/>
      <c r="AM69" s="427"/>
      <c r="AN69" s="427"/>
      <c r="AO69" s="427"/>
      <c r="AP69" s="427"/>
      <c r="AQ69" s="427"/>
      <c r="AR69" s="427"/>
      <c r="AS69" s="427"/>
    </row>
    <row r="70" spans="1:45" s="14" customFormat="1" ht="15.75" customHeight="1">
      <c r="A70" s="37">
        <v>17</v>
      </c>
      <c r="B70" s="419" t="s">
        <v>101</v>
      </c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199" t="s">
        <v>100</v>
      </c>
      <c r="O70" s="199"/>
      <c r="P70" s="128" t="s">
        <v>47</v>
      </c>
      <c r="Q70" s="128"/>
      <c r="R70" s="128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3"/>
      <c r="AG70" s="423"/>
      <c r="AH70" s="423"/>
      <c r="AI70" s="423"/>
      <c r="AJ70" s="423"/>
      <c r="AK70" s="423"/>
      <c r="AL70" s="423"/>
      <c r="AM70" s="423"/>
      <c r="AN70" s="423"/>
      <c r="AO70" s="423"/>
      <c r="AP70" s="423"/>
      <c r="AQ70" s="423"/>
      <c r="AR70" s="423"/>
      <c r="AS70" s="423"/>
    </row>
    <row r="71" spans="1:45" s="14" customFormat="1" ht="15.75" customHeight="1">
      <c r="A71" s="37">
        <v>18</v>
      </c>
      <c r="B71" s="419" t="s">
        <v>99</v>
      </c>
      <c r="C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N71" s="199" t="s">
        <v>98</v>
      </c>
      <c r="O71" s="199"/>
      <c r="P71" s="424">
        <f>SUM(S71:AS71)</f>
        <v>0</v>
      </c>
      <c r="Q71" s="424"/>
      <c r="R71" s="424"/>
      <c r="S71" s="425"/>
      <c r="T71" s="426"/>
      <c r="U71" s="426"/>
      <c r="V71" s="426"/>
      <c r="W71" s="426"/>
      <c r="X71" s="426"/>
      <c r="Y71" s="426"/>
      <c r="Z71" s="426"/>
      <c r="AA71" s="426"/>
      <c r="AB71" s="426"/>
      <c r="AC71" s="426"/>
      <c r="AD71" s="426"/>
      <c r="AE71" s="426"/>
      <c r="AF71" s="426"/>
      <c r="AG71" s="426"/>
      <c r="AH71" s="426"/>
      <c r="AI71" s="426"/>
      <c r="AJ71" s="426"/>
      <c r="AK71" s="426"/>
      <c r="AL71" s="426"/>
      <c r="AM71" s="426"/>
      <c r="AN71" s="426"/>
      <c r="AO71" s="426"/>
      <c r="AP71" s="426"/>
      <c r="AQ71" s="426"/>
      <c r="AR71" s="426"/>
      <c r="AS71" s="426"/>
    </row>
    <row r="72" spans="1:45" s="14" customFormat="1" ht="15.75" customHeight="1">
      <c r="A72" s="37">
        <v>19</v>
      </c>
      <c r="B72" s="419" t="s">
        <v>97</v>
      </c>
      <c r="C72" s="419"/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N72" s="199" t="s">
        <v>1</v>
      </c>
      <c r="O72" s="199"/>
      <c r="P72" s="128">
        <f>SUM(S72:AS72)</f>
        <v>0</v>
      </c>
      <c r="Q72" s="128"/>
      <c r="R72" s="128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</row>
    <row r="73" spans="1:45" s="14" customFormat="1" ht="15.75" customHeight="1">
      <c r="A73" s="37">
        <v>20</v>
      </c>
      <c r="B73" s="419" t="s">
        <v>96</v>
      </c>
      <c r="C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N73" s="422" t="s">
        <v>95</v>
      </c>
      <c r="O73" s="422"/>
      <c r="P73" s="128">
        <f>IF($P$72=0,0,SUMPRODUCT($S$72:$AS$72,S73:AS73)/$P$72)</f>
        <v>0</v>
      </c>
      <c r="Q73" s="128"/>
      <c r="R73" s="128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</row>
    <row r="74" spans="1:45" s="14" customFormat="1" ht="15.75" customHeight="1">
      <c r="A74" s="37">
        <v>21</v>
      </c>
      <c r="B74" s="419" t="s">
        <v>94</v>
      </c>
      <c r="C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N74" s="420" t="s">
        <v>93</v>
      </c>
      <c r="O74" s="420"/>
      <c r="P74" s="128" t="s">
        <v>47</v>
      </c>
      <c r="Q74" s="128"/>
      <c r="R74" s="128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</row>
    <row r="75" spans="1:45" s="4" customFormat="1" ht="15.75" customHeight="1"/>
    <row r="76" spans="1:45" s="14" customFormat="1" ht="15.75" customHeight="1">
      <c r="A76" s="36" t="s">
        <v>7</v>
      </c>
      <c r="B76" s="402" t="s">
        <v>19</v>
      </c>
      <c r="C76" s="402"/>
      <c r="D76" s="402"/>
      <c r="E76" s="402"/>
      <c r="F76" s="402"/>
      <c r="G76" s="402"/>
      <c r="H76" s="402" t="s">
        <v>5</v>
      </c>
      <c r="I76" s="402"/>
      <c r="J76" s="207" t="s">
        <v>69</v>
      </c>
      <c r="K76" s="207"/>
      <c r="L76" s="207"/>
      <c r="M76" s="207" t="s">
        <v>92</v>
      </c>
      <c r="N76" s="207"/>
      <c r="O76" s="207"/>
      <c r="P76" s="207" t="s">
        <v>91</v>
      </c>
      <c r="Q76" s="207"/>
      <c r="R76" s="207"/>
      <c r="S76" s="207" t="s">
        <v>90</v>
      </c>
      <c r="T76" s="207"/>
      <c r="U76" s="207"/>
      <c r="V76" s="207" t="s">
        <v>89</v>
      </c>
      <c r="W76" s="207"/>
      <c r="X76" s="207"/>
      <c r="Y76" s="207" t="s">
        <v>88</v>
      </c>
      <c r="Z76" s="207"/>
      <c r="AA76" s="207"/>
      <c r="AB76" s="207" t="s">
        <v>87</v>
      </c>
      <c r="AC76" s="207"/>
      <c r="AD76" s="207"/>
      <c r="AE76" s="207" t="s">
        <v>86</v>
      </c>
      <c r="AF76" s="207"/>
      <c r="AG76" s="207"/>
      <c r="AH76" s="207" t="s">
        <v>85</v>
      </c>
      <c r="AI76" s="207"/>
      <c r="AJ76" s="207"/>
      <c r="AK76" s="207" t="s">
        <v>84</v>
      </c>
      <c r="AL76" s="207"/>
      <c r="AM76" s="207"/>
      <c r="AN76" s="421" t="s">
        <v>83</v>
      </c>
      <c r="AO76" s="421"/>
      <c r="AP76" s="421"/>
      <c r="AQ76" s="421" t="s">
        <v>82</v>
      </c>
      <c r="AR76" s="421"/>
      <c r="AS76" s="421"/>
    </row>
    <row r="77" spans="1:45" s="14" customFormat="1" ht="15.75" customHeight="1">
      <c r="A77" s="37">
        <v>1</v>
      </c>
      <c r="B77" s="142" t="s">
        <v>81</v>
      </c>
      <c r="C77" s="142"/>
      <c r="D77" s="142"/>
      <c r="E77" s="142"/>
      <c r="F77" s="142"/>
      <c r="G77" s="142"/>
      <c r="H77" s="134" t="s">
        <v>1</v>
      </c>
      <c r="I77" s="134"/>
      <c r="J77" s="414">
        <f t="shared" ref="J77:J84" si="20">ROUND(SUM(M77:AS77),3)</f>
        <v>0</v>
      </c>
      <c r="K77" s="414"/>
      <c r="L77" s="414"/>
      <c r="M77" s="418"/>
      <c r="N77" s="418"/>
      <c r="O77" s="418"/>
      <c r="P77" s="418"/>
      <c r="Q77" s="418"/>
      <c r="R77" s="418"/>
      <c r="S77" s="418"/>
      <c r="T77" s="418"/>
      <c r="U77" s="418"/>
      <c r="V77" s="418"/>
      <c r="W77" s="418"/>
      <c r="X77" s="418"/>
      <c r="Y77" s="418"/>
      <c r="Z77" s="418"/>
      <c r="AA77" s="418"/>
      <c r="AB77" s="418"/>
      <c r="AC77" s="418"/>
      <c r="AD77" s="418"/>
      <c r="AE77" s="418"/>
      <c r="AF77" s="418"/>
      <c r="AG77" s="418"/>
      <c r="AH77" s="418"/>
      <c r="AI77" s="418"/>
      <c r="AJ77" s="418"/>
      <c r="AK77" s="418"/>
      <c r="AL77" s="418"/>
      <c r="AM77" s="418"/>
      <c r="AN77" s="418"/>
      <c r="AO77" s="418"/>
      <c r="AP77" s="418"/>
      <c r="AQ77" s="418"/>
      <c r="AR77" s="418"/>
      <c r="AS77" s="418"/>
    </row>
    <row r="78" spans="1:45" s="14" customFormat="1" ht="15.75" customHeight="1">
      <c r="A78" s="37">
        <v>2</v>
      </c>
      <c r="B78" s="415" t="s">
        <v>80</v>
      </c>
      <c r="C78" s="415"/>
      <c r="D78" s="415"/>
      <c r="E78" s="415">
        <f>IF(E82&gt;0,CHOOSE($AS$1,"ДВГ-1","ГТ-1"),0)</f>
        <v>0</v>
      </c>
      <c r="F78" s="415"/>
      <c r="G78" s="415"/>
      <c r="H78" s="134" t="s">
        <v>1</v>
      </c>
      <c r="I78" s="134"/>
      <c r="J78" s="414">
        <f t="shared" si="20"/>
        <v>0</v>
      </c>
      <c r="K78" s="414"/>
      <c r="L78" s="414"/>
      <c r="M78" s="418"/>
      <c r="N78" s="418"/>
      <c r="O78" s="418"/>
      <c r="P78" s="418"/>
      <c r="Q78" s="418"/>
      <c r="R78" s="418"/>
      <c r="S78" s="418"/>
      <c r="T78" s="418"/>
      <c r="U78" s="418"/>
      <c r="V78" s="418"/>
      <c r="W78" s="418"/>
      <c r="X78" s="418"/>
      <c r="Y78" s="418"/>
      <c r="Z78" s="418"/>
      <c r="AA78" s="418"/>
      <c r="AB78" s="418"/>
      <c r="AC78" s="418"/>
      <c r="AD78" s="418"/>
      <c r="AE78" s="418"/>
      <c r="AF78" s="418"/>
      <c r="AG78" s="418"/>
      <c r="AH78" s="418"/>
      <c r="AI78" s="418"/>
      <c r="AJ78" s="418"/>
      <c r="AK78" s="418"/>
      <c r="AL78" s="418"/>
      <c r="AM78" s="418"/>
      <c r="AN78" s="393">
        <f>IF($O$49=0,0,$O$49)</f>
        <v>0</v>
      </c>
      <c r="AO78" s="393"/>
      <c r="AP78" s="393"/>
      <c r="AQ78" s="393">
        <f>IF($R$49=0,0,$R$49)</f>
        <v>0</v>
      </c>
      <c r="AR78" s="393"/>
      <c r="AS78" s="393"/>
    </row>
    <row r="79" spans="1:45" s="14" customFormat="1" ht="15.75" customHeight="1">
      <c r="A79" s="37">
        <v>3</v>
      </c>
      <c r="B79" s="415" t="s">
        <v>79</v>
      </c>
      <c r="C79" s="415"/>
      <c r="D79" s="415"/>
      <c r="E79" s="415"/>
      <c r="F79" s="415"/>
      <c r="G79" s="415"/>
      <c r="H79" s="134" t="s">
        <v>1</v>
      </c>
      <c r="I79" s="134"/>
      <c r="J79" s="414">
        <f t="shared" si="20"/>
        <v>0</v>
      </c>
      <c r="K79" s="414"/>
      <c r="L79" s="414"/>
      <c r="M79" s="418"/>
      <c r="N79" s="418"/>
      <c r="O79" s="418"/>
      <c r="P79" s="418"/>
      <c r="Q79" s="418"/>
      <c r="R79" s="418"/>
      <c r="S79" s="418"/>
      <c r="T79" s="418"/>
      <c r="U79" s="418"/>
      <c r="V79" s="418"/>
      <c r="W79" s="418"/>
      <c r="X79" s="418"/>
      <c r="Y79" s="418"/>
      <c r="Z79" s="418"/>
      <c r="AA79" s="418"/>
      <c r="AB79" s="418"/>
      <c r="AC79" s="418"/>
      <c r="AD79" s="418"/>
      <c r="AE79" s="418"/>
      <c r="AF79" s="418"/>
      <c r="AG79" s="418"/>
      <c r="AH79" s="418"/>
      <c r="AI79" s="418"/>
      <c r="AJ79" s="418"/>
      <c r="AK79" s="418"/>
      <c r="AL79" s="418"/>
      <c r="AM79" s="418"/>
      <c r="AN79" s="418"/>
      <c r="AO79" s="418"/>
      <c r="AP79" s="418"/>
      <c r="AQ79" s="418"/>
      <c r="AR79" s="418"/>
      <c r="AS79" s="418"/>
    </row>
    <row r="80" spans="1:45" s="14" customFormat="1" ht="15.75" customHeight="1">
      <c r="A80" s="37">
        <v>4</v>
      </c>
      <c r="B80" s="415" t="s">
        <v>78</v>
      </c>
      <c r="C80" s="415"/>
      <c r="D80" s="415"/>
      <c r="E80" s="415"/>
      <c r="F80" s="415"/>
      <c r="G80" s="415"/>
      <c r="H80" s="134" t="s">
        <v>1</v>
      </c>
      <c r="I80" s="134"/>
      <c r="J80" s="414">
        <f t="shared" si="20"/>
        <v>0</v>
      </c>
      <c r="K80" s="414"/>
      <c r="L80" s="414"/>
      <c r="M80" s="418"/>
      <c r="N80" s="418"/>
      <c r="O80" s="418"/>
      <c r="P80" s="418"/>
      <c r="Q80" s="418"/>
      <c r="R80" s="418"/>
      <c r="S80" s="418"/>
      <c r="T80" s="418"/>
      <c r="U80" s="418"/>
      <c r="V80" s="418"/>
      <c r="W80" s="418"/>
      <c r="X80" s="418"/>
      <c r="Y80" s="418"/>
      <c r="Z80" s="418"/>
      <c r="AA80" s="418"/>
      <c r="AB80" s="418"/>
      <c r="AC80" s="418"/>
      <c r="AD80" s="418"/>
      <c r="AE80" s="418"/>
      <c r="AF80" s="418"/>
      <c r="AG80" s="418"/>
      <c r="AH80" s="418"/>
      <c r="AI80" s="418"/>
      <c r="AJ80" s="418"/>
      <c r="AK80" s="418"/>
      <c r="AL80" s="418"/>
      <c r="AM80" s="418"/>
      <c r="AN80" s="418"/>
      <c r="AO80" s="418"/>
      <c r="AP80" s="418"/>
      <c r="AQ80" s="418"/>
      <c r="AR80" s="418"/>
      <c r="AS80" s="418"/>
    </row>
    <row r="81" spans="1:45" s="14" customFormat="1" ht="15.75" customHeight="1">
      <c r="A81" s="37">
        <v>5</v>
      </c>
      <c r="B81" s="415" t="s">
        <v>77</v>
      </c>
      <c r="C81" s="415"/>
      <c r="D81" s="415"/>
      <c r="E81" s="415"/>
      <c r="F81" s="415"/>
      <c r="G81" s="415"/>
      <c r="H81" s="134" t="s">
        <v>1</v>
      </c>
      <c r="I81" s="134"/>
      <c r="J81" s="414">
        <f t="shared" si="20"/>
        <v>0</v>
      </c>
      <c r="K81" s="414"/>
      <c r="L81" s="414"/>
      <c r="M81" s="414">
        <f>ROUND(SUM(M79:O80),3)</f>
        <v>0</v>
      </c>
      <c r="N81" s="414"/>
      <c r="O81" s="414"/>
      <c r="P81" s="414">
        <f t="shared" ref="P81" si="21">ROUND(SUM(P79:R80),3)</f>
        <v>0</v>
      </c>
      <c r="Q81" s="414"/>
      <c r="R81" s="414"/>
      <c r="S81" s="414">
        <f t="shared" ref="S81" si="22">ROUND(SUM(S79:U80),3)</f>
        <v>0</v>
      </c>
      <c r="T81" s="414"/>
      <c r="U81" s="414"/>
      <c r="V81" s="414">
        <f t="shared" ref="V81" si="23">ROUND(SUM(V79:X80),3)</f>
        <v>0</v>
      </c>
      <c r="W81" s="414"/>
      <c r="X81" s="414"/>
      <c r="Y81" s="414">
        <f t="shared" ref="Y81" si="24">ROUND(SUM(Y79:AA80),3)</f>
        <v>0</v>
      </c>
      <c r="Z81" s="414"/>
      <c r="AA81" s="414"/>
      <c r="AB81" s="414">
        <f t="shared" ref="AB81" si="25">ROUND(SUM(AB79:AD80),3)</f>
        <v>0</v>
      </c>
      <c r="AC81" s="414"/>
      <c r="AD81" s="414"/>
      <c r="AE81" s="414">
        <f t="shared" ref="AE81" si="26">ROUND(SUM(AE79:AG80),3)</f>
        <v>0</v>
      </c>
      <c r="AF81" s="414"/>
      <c r="AG81" s="414"/>
      <c r="AH81" s="414">
        <f t="shared" ref="AH81" si="27">ROUND(SUM(AH79:AJ80),3)</f>
        <v>0</v>
      </c>
      <c r="AI81" s="414"/>
      <c r="AJ81" s="414"/>
      <c r="AK81" s="414">
        <f t="shared" ref="AK81" si="28">ROUND(SUM(AK79:AM80),3)</f>
        <v>0</v>
      </c>
      <c r="AL81" s="414"/>
      <c r="AM81" s="414"/>
      <c r="AN81" s="393">
        <f t="shared" ref="AN81" si="29">ROUND(SUM(AN79:AP80),3)</f>
        <v>0</v>
      </c>
      <c r="AO81" s="393"/>
      <c r="AP81" s="393"/>
      <c r="AQ81" s="393">
        <f t="shared" ref="AQ81" si="30">ROUND(SUM(AQ79:AS80),3)</f>
        <v>0</v>
      </c>
      <c r="AR81" s="393"/>
      <c r="AS81" s="393"/>
    </row>
    <row r="82" spans="1:45" s="14" customFormat="1" ht="15.75" customHeight="1">
      <c r="A82" s="37">
        <v>6</v>
      </c>
      <c r="B82" s="415" t="s">
        <v>76</v>
      </c>
      <c r="C82" s="415"/>
      <c r="D82" s="415"/>
      <c r="E82" s="415"/>
      <c r="F82" s="415"/>
      <c r="G82" s="415"/>
      <c r="H82" s="134" t="s">
        <v>1</v>
      </c>
      <c r="I82" s="134"/>
      <c r="J82" s="414">
        <f t="shared" si="20"/>
        <v>0</v>
      </c>
      <c r="K82" s="414"/>
      <c r="L82" s="414"/>
      <c r="M82" s="418"/>
      <c r="N82" s="418"/>
      <c r="O82" s="418"/>
      <c r="P82" s="418"/>
      <c r="Q82" s="418"/>
      <c r="R82" s="418"/>
      <c r="S82" s="418"/>
      <c r="T82" s="418"/>
      <c r="U82" s="418"/>
      <c r="V82" s="418"/>
      <c r="W82" s="418"/>
      <c r="X82" s="418"/>
      <c r="Y82" s="418"/>
      <c r="Z82" s="418"/>
      <c r="AA82" s="418"/>
      <c r="AB82" s="418"/>
      <c r="AC82" s="418"/>
      <c r="AD82" s="418"/>
      <c r="AE82" s="418"/>
      <c r="AF82" s="418"/>
      <c r="AG82" s="418"/>
      <c r="AH82" s="418"/>
      <c r="AI82" s="418"/>
      <c r="AJ82" s="418"/>
      <c r="AK82" s="418"/>
      <c r="AL82" s="418"/>
      <c r="AM82" s="418"/>
      <c r="AN82" s="418"/>
      <c r="AO82" s="418"/>
      <c r="AP82" s="418"/>
      <c r="AQ82" s="418"/>
      <c r="AR82" s="418"/>
      <c r="AS82" s="418"/>
    </row>
    <row r="83" spans="1:45" s="14" customFormat="1" ht="15.75" customHeight="1">
      <c r="A83" s="37">
        <v>7</v>
      </c>
      <c r="B83" s="416" t="s">
        <v>75</v>
      </c>
      <c r="C83" s="416"/>
      <c r="D83" s="416"/>
      <c r="E83" s="416"/>
      <c r="F83" s="416"/>
      <c r="G83" s="416"/>
      <c r="H83" s="134" t="s">
        <v>1</v>
      </c>
      <c r="I83" s="134"/>
      <c r="J83" s="414">
        <f t="shared" si="20"/>
        <v>0</v>
      </c>
      <c r="K83" s="414"/>
      <c r="L83" s="414"/>
      <c r="M83" s="414">
        <f>ROUND(SUM(M82,M81),3)</f>
        <v>0</v>
      </c>
      <c r="N83" s="414"/>
      <c r="O83" s="414"/>
      <c r="P83" s="414">
        <f t="shared" ref="P83" si="31">ROUND(SUM(P82,P81),3)</f>
        <v>0</v>
      </c>
      <c r="Q83" s="414"/>
      <c r="R83" s="414"/>
      <c r="S83" s="414">
        <f t="shared" ref="S83" si="32">ROUND(SUM(S82,S81),3)</f>
        <v>0</v>
      </c>
      <c r="T83" s="414"/>
      <c r="U83" s="414"/>
      <c r="V83" s="414">
        <f t="shared" ref="V83" si="33">ROUND(SUM(V82,V81),3)</f>
        <v>0</v>
      </c>
      <c r="W83" s="414"/>
      <c r="X83" s="414"/>
      <c r="Y83" s="414">
        <f t="shared" ref="Y83" si="34">ROUND(SUM(Y82,Y81),3)</f>
        <v>0</v>
      </c>
      <c r="Z83" s="414"/>
      <c r="AA83" s="414"/>
      <c r="AB83" s="414">
        <f t="shared" ref="AB83" si="35">ROUND(SUM(AB82,AB81),3)</f>
        <v>0</v>
      </c>
      <c r="AC83" s="414"/>
      <c r="AD83" s="414"/>
      <c r="AE83" s="414">
        <f t="shared" ref="AE83" si="36">ROUND(SUM(AE82,AE81),3)</f>
        <v>0</v>
      </c>
      <c r="AF83" s="414"/>
      <c r="AG83" s="414"/>
      <c r="AH83" s="414">
        <f t="shared" ref="AH83" si="37">ROUND(SUM(AH82,AH81),3)</f>
        <v>0</v>
      </c>
      <c r="AI83" s="414"/>
      <c r="AJ83" s="414"/>
      <c r="AK83" s="414">
        <f t="shared" ref="AK83" si="38">ROUND(SUM(AK82,AK81),3)</f>
        <v>0</v>
      </c>
      <c r="AL83" s="414"/>
      <c r="AM83" s="414"/>
      <c r="AN83" s="393">
        <f t="shared" ref="AN83" si="39">ROUND(SUM(AN82,AN81),3)</f>
        <v>0</v>
      </c>
      <c r="AO83" s="393"/>
      <c r="AP83" s="393"/>
      <c r="AQ83" s="393">
        <f t="shared" ref="AQ83" si="40">ROUND(SUM(AQ82,AQ81),3)</f>
        <v>0</v>
      </c>
      <c r="AR83" s="393"/>
      <c r="AS83" s="393"/>
    </row>
    <row r="84" spans="1:45" s="14" customFormat="1" ht="14.25" customHeight="1">
      <c r="A84" s="37">
        <v>8</v>
      </c>
      <c r="B84" s="415" t="s">
        <v>74</v>
      </c>
      <c r="C84" s="415"/>
      <c r="D84" s="415"/>
      <c r="E84" s="415"/>
      <c r="F84" s="415"/>
      <c r="G84" s="415"/>
      <c r="H84" s="134" t="s">
        <v>1</v>
      </c>
      <c r="I84" s="134"/>
      <c r="J84" s="414">
        <f t="shared" si="20"/>
        <v>0</v>
      </c>
      <c r="K84" s="414"/>
      <c r="L84" s="414"/>
      <c r="M84" s="417"/>
      <c r="N84" s="417"/>
      <c r="O84" s="417"/>
      <c r="P84" s="417"/>
      <c r="Q84" s="417"/>
      <c r="R84" s="417"/>
      <c r="S84" s="417">
        <v>0</v>
      </c>
      <c r="T84" s="417"/>
      <c r="U84" s="417"/>
      <c r="V84" s="417"/>
      <c r="W84" s="417"/>
      <c r="X84" s="417"/>
      <c r="Y84" s="417"/>
      <c r="Z84" s="417"/>
      <c r="AA84" s="417"/>
      <c r="AB84" s="417"/>
      <c r="AC84" s="417"/>
      <c r="AD84" s="417"/>
      <c r="AE84" s="417"/>
      <c r="AF84" s="417"/>
      <c r="AG84" s="417"/>
      <c r="AH84" s="417"/>
      <c r="AI84" s="417"/>
      <c r="AJ84" s="417"/>
      <c r="AK84" s="417"/>
      <c r="AL84" s="417"/>
      <c r="AM84" s="417"/>
      <c r="AN84" s="417"/>
      <c r="AO84" s="417"/>
      <c r="AP84" s="417"/>
      <c r="AQ84" s="417"/>
      <c r="AR84" s="417"/>
      <c r="AS84" s="417"/>
    </row>
    <row r="85" spans="1:45" s="14" customFormat="1" ht="15.75" customHeight="1">
      <c r="A85" s="37">
        <v>9</v>
      </c>
      <c r="B85" s="413" t="s">
        <v>375</v>
      </c>
      <c r="C85" s="413"/>
      <c r="D85" s="413"/>
      <c r="E85" s="413"/>
      <c r="F85" s="413"/>
      <c r="G85" s="413"/>
      <c r="H85" s="134" t="s">
        <v>1</v>
      </c>
      <c r="I85" s="134"/>
      <c r="J85" s="414">
        <f>ROUND(SUM(M85:AS85),3)</f>
        <v>0</v>
      </c>
      <c r="K85" s="414"/>
      <c r="L85" s="414"/>
      <c r="M85" s="414">
        <f>ROUND(SUM(M77,-M84),3)</f>
        <v>0</v>
      </c>
      <c r="N85" s="414"/>
      <c r="O85" s="414"/>
      <c r="P85" s="414">
        <f t="shared" ref="P85" si="41">ROUND(SUM(P77,-P84),3)</f>
        <v>0</v>
      </c>
      <c r="Q85" s="414"/>
      <c r="R85" s="414"/>
      <c r="S85" s="414">
        <f t="shared" ref="S85" si="42">ROUND(SUM(S77,-S84),3)</f>
        <v>0</v>
      </c>
      <c r="T85" s="414"/>
      <c r="U85" s="414"/>
      <c r="V85" s="414">
        <f t="shared" ref="V85" si="43">ROUND(SUM(V77,-V84),3)</f>
        <v>0</v>
      </c>
      <c r="W85" s="414"/>
      <c r="X85" s="414"/>
      <c r="Y85" s="414">
        <f t="shared" ref="Y85" si="44">ROUND(SUM(Y77,-Y84),3)</f>
        <v>0</v>
      </c>
      <c r="Z85" s="414"/>
      <c r="AA85" s="414"/>
      <c r="AB85" s="414">
        <f t="shared" ref="AB85" si="45">ROUND(SUM(AB77,-AB84),3)</f>
        <v>0</v>
      </c>
      <c r="AC85" s="414"/>
      <c r="AD85" s="414"/>
      <c r="AE85" s="414">
        <f t="shared" ref="AE85" si="46">ROUND(SUM(AE77,-AE84),3)</f>
        <v>0</v>
      </c>
      <c r="AF85" s="414"/>
      <c r="AG85" s="414"/>
      <c r="AH85" s="414">
        <f t="shared" ref="AH85" si="47">ROUND(SUM(AH77,-AH84),3)</f>
        <v>0</v>
      </c>
      <c r="AI85" s="414"/>
      <c r="AJ85" s="414"/>
      <c r="AK85" s="414">
        <f t="shared" ref="AK85" si="48">ROUND(SUM(AK77,-AK84),3)</f>
        <v>0</v>
      </c>
      <c r="AL85" s="414"/>
      <c r="AM85" s="414"/>
      <c r="AN85" s="393">
        <f t="shared" ref="AN85" si="49">ROUND(SUM(AN77,-AN84),3)</f>
        <v>0</v>
      </c>
      <c r="AO85" s="393"/>
      <c r="AP85" s="393"/>
      <c r="AQ85" s="393">
        <f t="shared" ref="AQ85" si="50">ROUND(SUM(AQ77,-AQ84),3)</f>
        <v>0</v>
      </c>
      <c r="AR85" s="393"/>
      <c r="AS85" s="393"/>
    </row>
    <row r="86" spans="1:45" s="14" customFormat="1" ht="15.75" customHeight="1">
      <c r="A86" s="37">
        <v>10</v>
      </c>
      <c r="B86" s="415" t="s">
        <v>356</v>
      </c>
      <c r="C86" s="415"/>
      <c r="D86" s="415"/>
      <c r="E86" s="415">
        <f>IF(E90&gt;0,CHOOSE($AS$1,"ДВГ-1","ГТ-1"),0)</f>
        <v>0</v>
      </c>
      <c r="F86" s="415"/>
      <c r="G86" s="415"/>
      <c r="H86" s="134" t="s">
        <v>1</v>
      </c>
      <c r="I86" s="134"/>
      <c r="J86" s="414">
        <f>ROUND(SUM(M86:AS86),3)</f>
        <v>0</v>
      </c>
      <c r="K86" s="414"/>
      <c r="L86" s="414"/>
      <c r="M86" s="414">
        <f>ROUND(SUM(M78,M81),3)</f>
        <v>0</v>
      </c>
      <c r="N86" s="414"/>
      <c r="O86" s="414"/>
      <c r="P86" s="414">
        <f t="shared" ref="P86" si="51">ROUND(SUM(P78,P81),3)</f>
        <v>0</v>
      </c>
      <c r="Q86" s="414"/>
      <c r="R86" s="414"/>
      <c r="S86" s="414">
        <f t="shared" ref="S86" si="52">ROUND(SUM(S78,S81),3)</f>
        <v>0</v>
      </c>
      <c r="T86" s="414"/>
      <c r="U86" s="414"/>
      <c r="V86" s="414">
        <f t="shared" ref="V86" si="53">ROUND(SUM(V78,V81),3)</f>
        <v>0</v>
      </c>
      <c r="W86" s="414"/>
      <c r="X86" s="414"/>
      <c r="Y86" s="414">
        <f t="shared" ref="Y86" si="54">ROUND(SUM(Y78,Y81),3)</f>
        <v>0</v>
      </c>
      <c r="Z86" s="414"/>
      <c r="AA86" s="414"/>
      <c r="AB86" s="414">
        <f t="shared" ref="AB86" si="55">ROUND(SUM(AB78,AB81),3)</f>
        <v>0</v>
      </c>
      <c r="AC86" s="414"/>
      <c r="AD86" s="414"/>
      <c r="AE86" s="414">
        <f t="shared" ref="AE86" si="56">ROUND(SUM(AE78,AE81),3)</f>
        <v>0</v>
      </c>
      <c r="AF86" s="414"/>
      <c r="AG86" s="414"/>
      <c r="AH86" s="414">
        <f t="shared" ref="AH86" si="57">ROUND(SUM(AH78,AH81),3)</f>
        <v>0</v>
      </c>
      <c r="AI86" s="414"/>
      <c r="AJ86" s="414"/>
      <c r="AK86" s="414">
        <f t="shared" ref="AK86" si="58">ROUND(SUM(AK78,AK81),3)</f>
        <v>0</v>
      </c>
      <c r="AL86" s="414"/>
      <c r="AM86" s="414"/>
      <c r="AN86" s="393">
        <f t="shared" ref="AN86" si="59">ROUND(SUM(AN78,AN81),3)</f>
        <v>0</v>
      </c>
      <c r="AO86" s="393"/>
      <c r="AP86" s="393"/>
      <c r="AQ86" s="393">
        <f t="shared" ref="AQ86" si="60">ROUND(SUM(AQ78,AQ81),3)</f>
        <v>0</v>
      </c>
      <c r="AR86" s="393"/>
      <c r="AS86" s="393"/>
    </row>
    <row r="87" spans="1:45" s="14" customFormat="1" ht="17.25" customHeight="1">
      <c r="A87" s="37">
        <v>11</v>
      </c>
      <c r="B87" s="405" t="s">
        <v>335</v>
      </c>
      <c r="C87" s="405"/>
      <c r="D87" s="405"/>
      <c r="E87" s="405"/>
      <c r="F87" s="405"/>
      <c r="G87" s="405"/>
      <c r="H87" s="134" t="s">
        <v>24</v>
      </c>
      <c r="I87" s="134"/>
      <c r="J87" s="406">
        <f>IF($AS$1=0,0,IF($AS$1=1,ROUND(IF(SUMPRODUCT(M$87:AM$87,M$85:AM$85)=0,0,SUMPRODUCT(M$87:AM$87,M$86:AM$86)/SUMPRODUCT(M$87:AM$87,M$85:AM$85)),4),IF($AS$1=2,"-",)))</f>
        <v>0</v>
      </c>
      <c r="K87" s="406"/>
      <c r="L87" s="406"/>
      <c r="M87" s="407">
        <f>IF($AS$1=0,0,IF($AS$1=1,ROUND(IF(M$85=0,0,M$86/M$85),4),IF($AS$1=2,"-",)))</f>
        <v>0</v>
      </c>
      <c r="N87" s="408"/>
      <c r="O87" s="409"/>
      <c r="P87" s="406">
        <f>IF($AS$1=0,0,IF($AS$1=1,ROUND(IF(P$85=0,0,P$86/P$85),4),IF($AS$1=2,"-",)))</f>
        <v>0</v>
      </c>
      <c r="Q87" s="406"/>
      <c r="R87" s="406"/>
      <c r="S87" s="406">
        <f>IF($AS$1=0,0,IF($AS$1=1,ROUND(IF(S$85=0,0,S$86/S$85),4),IF($AS$1=2,"-",)))</f>
        <v>0</v>
      </c>
      <c r="T87" s="406"/>
      <c r="U87" s="406"/>
      <c r="V87" s="406">
        <f>IF($AS$1=0,0,IF($AS$1=1,ROUND(IF(V$85=0,0,V$86/V$85),4),IF($AS$1=2,"-",)))</f>
        <v>0</v>
      </c>
      <c r="W87" s="406"/>
      <c r="X87" s="406"/>
      <c r="Y87" s="406">
        <f>IF($AS$1=0,0,IF($AS$1=1,ROUND(IF(Y$85=0,0,Y$86/Y$85),4),IF($AS$1=2,"-",)))</f>
        <v>0</v>
      </c>
      <c r="Z87" s="406"/>
      <c r="AA87" s="406"/>
      <c r="AB87" s="406">
        <f>IF($AS$1=0,0,IF($AS$1=1,ROUND(IF(AB$85=0,0,AB$86/AB$85),4),IF($AS$1=2,"-",)))</f>
        <v>0</v>
      </c>
      <c r="AC87" s="406"/>
      <c r="AD87" s="406"/>
      <c r="AE87" s="406">
        <f>IF($AS$1=0,0,IF($AS$1=1,ROUND(IF(AE$85=0,0,AE$86/AE$85),4),IF($AS$1=2,"-",)))</f>
        <v>0</v>
      </c>
      <c r="AF87" s="406"/>
      <c r="AG87" s="406"/>
      <c r="AH87" s="406">
        <f>IF($AS$1=0,0,IF($AS$1=1,ROUND(IF(AH$85=0,0,AH$86/AH$85),4),IF($AS$1=2,"-",)))</f>
        <v>0</v>
      </c>
      <c r="AI87" s="406"/>
      <c r="AJ87" s="406"/>
      <c r="AK87" s="406">
        <f>IF($AS$1=0,0,IF($AS$1=1,ROUND(IF(AK$85=0,0,AK$86/AK$85),4),IF($AS$1=2,"-",)))</f>
        <v>0</v>
      </c>
      <c r="AL87" s="406"/>
      <c r="AM87" s="406"/>
      <c r="AN87" s="410">
        <f>IF($AS$1=0,0,IF($AS$1=1,"-",IF($AS$1=2,"-",)))</f>
        <v>0</v>
      </c>
      <c r="AO87" s="411"/>
      <c r="AP87" s="412"/>
      <c r="AQ87" s="410">
        <f>IF($AS$1=0,0,IF($AS$1=1,"-",IF($AS$1=2,"-",)))</f>
        <v>0</v>
      </c>
      <c r="AR87" s="411"/>
      <c r="AS87" s="412"/>
    </row>
    <row r="88" spans="1:45" s="14" customFormat="1" ht="17.25" customHeight="1">
      <c r="A88" s="37">
        <v>12</v>
      </c>
      <c r="B88" s="589" t="s">
        <v>354</v>
      </c>
      <c r="C88" s="590"/>
      <c r="D88" s="590"/>
      <c r="E88" s="590"/>
      <c r="F88" s="167">
        <f>IF($AS$1=0,0,CHOOSE($AS$1,"-","КПГЦ"))</f>
        <v>0</v>
      </c>
      <c r="G88" s="168"/>
      <c r="H88" s="134" t="s">
        <v>24</v>
      </c>
      <c r="I88" s="134"/>
      <c r="J88" s="406">
        <f>IF($AS$1=0,0,IF($AS$1=1,"-",IF($AS$1=2,ROUND(IF(J$85=0,0,J$86/J$85),4))))</f>
        <v>0</v>
      </c>
      <c r="K88" s="406"/>
      <c r="L88" s="406"/>
      <c r="M88" s="128" t="s">
        <v>47</v>
      </c>
      <c r="N88" s="128"/>
      <c r="O88" s="128"/>
      <c r="P88" s="128" t="s">
        <v>47</v>
      </c>
      <c r="Q88" s="128"/>
      <c r="R88" s="128"/>
      <c r="S88" s="128" t="s">
        <v>47</v>
      </c>
      <c r="T88" s="128"/>
      <c r="U88" s="128"/>
      <c r="V88" s="128" t="s">
        <v>47</v>
      </c>
      <c r="W88" s="128"/>
      <c r="X88" s="128"/>
      <c r="Y88" s="128" t="s">
        <v>47</v>
      </c>
      <c r="Z88" s="128"/>
      <c r="AA88" s="128"/>
      <c r="AB88" s="128" t="s">
        <v>47</v>
      </c>
      <c r="AC88" s="128"/>
      <c r="AD88" s="128"/>
      <c r="AE88" s="128" t="s">
        <v>47</v>
      </c>
      <c r="AF88" s="128"/>
      <c r="AG88" s="128"/>
      <c r="AH88" s="128" t="s">
        <v>47</v>
      </c>
      <c r="AI88" s="128"/>
      <c r="AJ88" s="128"/>
      <c r="AK88" s="128" t="s">
        <v>47</v>
      </c>
      <c r="AL88" s="128"/>
      <c r="AM88" s="128"/>
      <c r="AN88" s="396" t="s">
        <v>47</v>
      </c>
      <c r="AO88" s="397"/>
      <c r="AP88" s="398"/>
      <c r="AQ88" s="396" t="s">
        <v>47</v>
      </c>
      <c r="AR88" s="397"/>
      <c r="AS88" s="398"/>
    </row>
    <row r="89" spans="1:45" s="14" customFormat="1" ht="17.25" customHeight="1">
      <c r="A89" s="37">
        <v>13</v>
      </c>
      <c r="B89" s="591" t="s">
        <v>355</v>
      </c>
      <c r="C89" s="592"/>
      <c r="D89" s="592"/>
      <c r="E89" s="592"/>
      <c r="F89" s="167">
        <f>IF($AS$1=0,0,CHOOSE($AS$1,"-","КПГЦ"))</f>
        <v>0</v>
      </c>
      <c r="G89" s="168"/>
      <c r="H89" s="134" t="s">
        <v>24</v>
      </c>
      <c r="I89" s="134"/>
      <c r="J89" s="135">
        <f>IF($AS$1=0,0,IF($AS$1=1,"-",IF($AS$1=2,0.8,)))</f>
        <v>0</v>
      </c>
      <c r="K89" s="135"/>
      <c r="L89" s="135"/>
      <c r="M89" s="128" t="s">
        <v>47</v>
      </c>
      <c r="N89" s="128"/>
      <c r="O89" s="128"/>
      <c r="P89" s="128" t="s">
        <v>47</v>
      </c>
      <c r="Q89" s="128"/>
      <c r="R89" s="128"/>
      <c r="S89" s="128" t="s">
        <v>47</v>
      </c>
      <c r="T89" s="128"/>
      <c r="U89" s="128"/>
      <c r="V89" s="128" t="s">
        <v>47</v>
      </c>
      <c r="W89" s="128"/>
      <c r="X89" s="128"/>
      <c r="Y89" s="128" t="s">
        <v>47</v>
      </c>
      <c r="Z89" s="128"/>
      <c r="AA89" s="128"/>
      <c r="AB89" s="128" t="s">
        <v>47</v>
      </c>
      <c r="AC89" s="128"/>
      <c r="AD89" s="128"/>
      <c r="AE89" s="128" t="s">
        <v>47</v>
      </c>
      <c r="AF89" s="128"/>
      <c r="AG89" s="128"/>
      <c r="AH89" s="128" t="s">
        <v>47</v>
      </c>
      <c r="AI89" s="128"/>
      <c r="AJ89" s="128"/>
      <c r="AK89" s="128" t="s">
        <v>47</v>
      </c>
      <c r="AL89" s="128"/>
      <c r="AM89" s="128"/>
      <c r="AN89" s="396" t="s">
        <v>47</v>
      </c>
      <c r="AO89" s="397"/>
      <c r="AP89" s="398"/>
      <c r="AQ89" s="396" t="s">
        <v>47</v>
      </c>
      <c r="AR89" s="397"/>
      <c r="AS89" s="398"/>
    </row>
    <row r="90" spans="1:45" ht="15.75" customHeight="1"/>
    <row r="91" spans="1:45" s="14" customFormat="1" ht="15.75" customHeight="1">
      <c r="A91" s="65" t="s">
        <v>7</v>
      </c>
      <c r="B91" s="402" t="s">
        <v>19</v>
      </c>
      <c r="C91" s="402"/>
      <c r="D91" s="402"/>
      <c r="E91" s="402"/>
      <c r="F91" s="402"/>
      <c r="G91" s="402"/>
      <c r="H91" s="134" t="s">
        <v>5</v>
      </c>
      <c r="I91" s="134"/>
      <c r="J91" s="403" t="s">
        <v>69</v>
      </c>
      <c r="K91" s="403"/>
      <c r="L91" s="403"/>
      <c r="M91" s="403" t="str">
        <f>M76</f>
        <v>ТГ - 1</v>
      </c>
      <c r="N91" s="403"/>
      <c r="O91" s="403"/>
      <c r="P91" s="403" t="str">
        <f>P76</f>
        <v>ТГ - 2</v>
      </c>
      <c r="Q91" s="403"/>
      <c r="R91" s="403"/>
      <c r="S91" s="403" t="str">
        <f>S76</f>
        <v>ТГ - 3</v>
      </c>
      <c r="T91" s="403"/>
      <c r="U91" s="403"/>
      <c r="V91" s="403" t="str">
        <f>V76</f>
        <v>ТГ - 4</v>
      </c>
      <c r="W91" s="403"/>
      <c r="X91" s="403"/>
      <c r="Y91" s="403" t="str">
        <f>Y76</f>
        <v>ТГ - 5</v>
      </c>
      <c r="Z91" s="403"/>
      <c r="AA91" s="403"/>
      <c r="AB91" s="403" t="str">
        <f>AB76</f>
        <v>ТГ - 6</v>
      </c>
      <c r="AC91" s="403"/>
      <c r="AD91" s="403"/>
      <c r="AE91" s="403" t="str">
        <f>AE76</f>
        <v>ТГ - 7</v>
      </c>
      <c r="AF91" s="403"/>
      <c r="AG91" s="403"/>
      <c r="AH91" s="403" t="str">
        <f>AH76</f>
        <v>ТГ - 8</v>
      </c>
      <c r="AI91" s="403"/>
      <c r="AJ91" s="403"/>
      <c r="AK91" s="403" t="str">
        <f>AK76</f>
        <v>ТГ - 9</v>
      </c>
      <c r="AL91" s="403"/>
      <c r="AM91" s="403"/>
      <c r="AN91" s="404" t="str">
        <f>AN76</f>
        <v>ГТ - 1</v>
      </c>
      <c r="AO91" s="404"/>
      <c r="AP91" s="404"/>
      <c r="AQ91" s="404" t="str">
        <f>AQ76</f>
        <v>ГТ - 2</v>
      </c>
      <c r="AR91" s="404"/>
      <c r="AS91" s="404"/>
    </row>
    <row r="92" spans="1:45" s="14" customFormat="1" ht="15.75" customHeight="1">
      <c r="A92" s="64">
        <v>14</v>
      </c>
      <c r="B92" s="142" t="s">
        <v>68</v>
      </c>
      <c r="C92" s="142"/>
      <c r="D92" s="142"/>
      <c r="E92" s="142"/>
      <c r="F92" s="142"/>
      <c r="G92" s="142"/>
      <c r="H92" s="134" t="s">
        <v>1</v>
      </c>
      <c r="I92" s="134"/>
      <c r="J92" s="128" t="s">
        <v>47</v>
      </c>
      <c r="K92" s="128"/>
      <c r="L92" s="128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396" t="s">
        <v>47</v>
      </c>
      <c r="AO92" s="397"/>
      <c r="AP92" s="398"/>
      <c r="AQ92" s="396" t="s">
        <v>47</v>
      </c>
      <c r="AR92" s="397"/>
      <c r="AS92" s="398"/>
    </row>
    <row r="93" spans="1:45" s="14" customFormat="1" ht="15.75" customHeight="1">
      <c r="A93" s="64">
        <v>15</v>
      </c>
      <c r="B93" s="142" t="s">
        <v>67</v>
      </c>
      <c r="C93" s="142"/>
      <c r="D93" s="142"/>
      <c r="E93" s="142"/>
      <c r="F93" s="142"/>
      <c r="G93" s="142"/>
      <c r="H93" s="134" t="s">
        <v>1</v>
      </c>
      <c r="I93" s="134"/>
      <c r="J93" s="128" t="s">
        <v>47</v>
      </c>
      <c r="K93" s="128"/>
      <c r="L93" s="128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396" t="s">
        <v>47</v>
      </c>
      <c r="AO93" s="397"/>
      <c r="AP93" s="398"/>
      <c r="AQ93" s="396" t="s">
        <v>47</v>
      </c>
      <c r="AR93" s="397"/>
      <c r="AS93" s="398"/>
    </row>
    <row r="94" spans="1:45" s="14" customFormat="1" ht="15.75" customHeight="1">
      <c r="A94" s="64">
        <v>16</v>
      </c>
      <c r="B94" s="142" t="s">
        <v>66</v>
      </c>
      <c r="C94" s="142"/>
      <c r="D94" s="142"/>
      <c r="E94" s="142"/>
      <c r="F94" s="142"/>
      <c r="G94" s="142"/>
      <c r="H94" s="134" t="s">
        <v>1</v>
      </c>
      <c r="I94" s="134"/>
      <c r="J94" s="128" t="s">
        <v>47</v>
      </c>
      <c r="K94" s="128"/>
      <c r="L94" s="128"/>
      <c r="M94" s="395">
        <f>(IF(M$78=0,0,IF(M$78&lt;&gt;0,1,)))*(IF($AS$1=0,0,IF($AS$1&gt;=1,ROUND(IF(M81=0,0,(M92*M79+M93*M80)/M81),4),)))</f>
        <v>0</v>
      </c>
      <c r="N94" s="395"/>
      <c r="O94" s="395"/>
      <c r="P94" s="395">
        <f>(IF(P$78=0,0,IF(P$78&lt;&gt;0,1,)))*(IF($AS$1=0,0,IF($AS$1&gt;=1,ROUND(IF(P81=0,0,(P92*P79+P93*P80)/P81),4),)))</f>
        <v>0</v>
      </c>
      <c r="Q94" s="395"/>
      <c r="R94" s="395"/>
      <c r="S94" s="395">
        <f t="shared" ref="S94" si="61">(IF(S$78=0,0,IF(S$78&lt;&gt;0,1,)))*(IF($AS$1=0,0,IF($AS$1&gt;=1,ROUND(IF(S81=0,0,(S92*S79+S93*S80)/S81),4),)))</f>
        <v>0</v>
      </c>
      <c r="T94" s="395"/>
      <c r="U94" s="395"/>
      <c r="V94" s="395">
        <f t="shared" ref="V94" si="62">(IF(V$78=0,0,IF(V$78&lt;&gt;0,1,)))*(IF($AS$1=0,0,IF($AS$1&gt;=1,ROUND(IF(V81=0,0,(V92*V79+V93*V80)/V81),4),)))</f>
        <v>0</v>
      </c>
      <c r="W94" s="395"/>
      <c r="X94" s="395"/>
      <c r="Y94" s="395">
        <f t="shared" ref="Y94" si="63">(IF(Y$78=0,0,IF(Y$78&lt;&gt;0,1,)))*(IF($AS$1=0,0,IF($AS$1&gt;=1,ROUND(IF(Y81=0,0,(Y92*Y79+Y93*Y80)/Y81),4),)))</f>
        <v>0</v>
      </c>
      <c r="Z94" s="395"/>
      <c r="AA94" s="395"/>
      <c r="AB94" s="395">
        <f t="shared" ref="AB94" si="64">(IF(AB$78=0,0,IF(AB$78&lt;&gt;0,1,)))*(IF($AS$1=0,0,IF($AS$1&gt;=1,ROUND(IF(AB81=0,0,(AB92*AB79+AB93*AB80)/AB81),4),)))</f>
        <v>0</v>
      </c>
      <c r="AC94" s="395"/>
      <c r="AD94" s="395"/>
      <c r="AE94" s="395">
        <f t="shared" ref="AE94" si="65">(IF(AE$78=0,0,IF(AE$78&lt;&gt;0,1,)))*(IF($AS$1=0,0,IF($AS$1&gt;=1,ROUND(IF(AE81=0,0,(AE92*AE79+AE93*AE80)/AE81),4),)))</f>
        <v>0</v>
      </c>
      <c r="AF94" s="395"/>
      <c r="AG94" s="395"/>
      <c r="AH94" s="395">
        <f t="shared" ref="AH94" si="66">(IF(AH$78=0,0,IF(AH$78&lt;&gt;0,1,)))*(IF($AS$1=0,0,IF($AS$1&gt;=1,ROUND(IF(AH81=0,0,(AH92*AH79+AH93*AH80)/AH81),4),)))</f>
        <v>0</v>
      </c>
      <c r="AI94" s="395"/>
      <c r="AJ94" s="395"/>
      <c r="AK94" s="395">
        <f t="shared" ref="AK94" si="67">(IF(AK$78=0,0,IF(AK$78&lt;&gt;0,1,)))*(IF($AS$1=0,0,IF($AS$1&gt;=1,ROUND(IF(AK81=0,0,(AK92*AK79+AK93*AK80)/AK81),4),)))</f>
        <v>0</v>
      </c>
      <c r="AL94" s="395"/>
      <c r="AM94" s="395"/>
      <c r="AN94" s="396" t="s">
        <v>47</v>
      </c>
      <c r="AO94" s="397"/>
      <c r="AP94" s="398"/>
      <c r="AQ94" s="396" t="s">
        <v>47</v>
      </c>
      <c r="AR94" s="397"/>
      <c r="AS94" s="398"/>
    </row>
    <row r="95" spans="1:45" s="14" customFormat="1" ht="15.75" customHeight="1">
      <c r="A95" s="64">
        <v>17</v>
      </c>
      <c r="B95" s="140" t="s">
        <v>376</v>
      </c>
      <c r="C95" s="141"/>
      <c r="D95" s="141"/>
      <c r="E95" s="167">
        <f>IF($AS$1=0,0,CHOOSE($AS$1,"ТГ","КПГЦ"))</f>
        <v>0</v>
      </c>
      <c r="F95" s="167"/>
      <c r="G95" s="168"/>
      <c r="H95" s="134" t="s">
        <v>24</v>
      </c>
      <c r="I95" s="134"/>
      <c r="J95" s="126">
        <f>IF($AS$1=0,0,IF($AS$1=1,"-",IF($AS$1=2,IF($J$88&gt;=$J$89,0,IF($J$85=0,0,$J$78/$J$85)))))</f>
        <v>0</v>
      </c>
      <c r="K95" s="126"/>
      <c r="L95" s="126"/>
      <c r="M95" s="135">
        <f>(IF(M$78=0,0,IF(M$78&lt;&gt;0,1,)))*(IF($AS$1=0,0,IF($AS$1=1,IF(M$87-S$57&gt;=0,0,IF(M85=0,0,(M78+M94*M81)/M85)),IF($AS$1=2,0,))))</f>
        <v>0</v>
      </c>
      <c r="N95" s="135"/>
      <c r="O95" s="135"/>
      <c r="P95" s="135">
        <f t="shared" ref="P95" si="68">(IF(P$78=0,0,IF(P$78&lt;&gt;0,1,)))*(IF($AS$1=0,0,IF($AS$1=1,IF(P$87-V$57&gt;=0,0,IF(P85=0,0,(P78+P94*P81)/P85)),IF($AS$1=2,0,))))</f>
        <v>0</v>
      </c>
      <c r="Q95" s="135"/>
      <c r="R95" s="135"/>
      <c r="S95" s="135">
        <f t="shared" ref="S95" si="69">(IF(S$78=0,0,IF(S$78&lt;&gt;0,1,)))*(IF($AS$1=0,0,IF($AS$1=1,IF(S$87-Y$57&gt;=0,0,IF(S85=0,0,(S78+S94*S81)/S85)),IF($AS$1=2,0,))))</f>
        <v>0</v>
      </c>
      <c r="T95" s="135"/>
      <c r="U95" s="135"/>
      <c r="V95" s="135">
        <f t="shared" ref="V95" si="70">(IF(V$78=0,0,IF(V$78&lt;&gt;0,1,)))*(IF($AS$1=0,0,IF($AS$1=1,IF(V$87-AB$57&gt;=0,0,IF(V85=0,0,(V78+V94*V81)/V85)),IF($AS$1=2,0,))))</f>
        <v>0</v>
      </c>
      <c r="W95" s="135"/>
      <c r="X95" s="135"/>
      <c r="Y95" s="135">
        <f t="shared" ref="Y95" si="71">(IF(Y$78=0,0,IF(Y$78&lt;&gt;0,1,)))*(IF($AS$1=0,0,IF($AS$1=1,IF(Y$87-AE$57&gt;=0,0,IF(Y85=0,0,(Y78+Y94*Y81)/Y85)),IF($AS$1=2,0,))))</f>
        <v>0</v>
      </c>
      <c r="Z95" s="135"/>
      <c r="AA95" s="135"/>
      <c r="AB95" s="135">
        <f t="shared" ref="AB95" si="72">(IF(AB$78=0,0,IF(AB$78&lt;&gt;0,1,)))*(IF($AS$1=0,0,IF($AS$1=1,IF(AB$87-AH$57&gt;=0,0,IF(AB85=0,0,(AB78+AB94*AB81)/AB85)),IF($AS$1=2,0,))))</f>
        <v>0</v>
      </c>
      <c r="AC95" s="135"/>
      <c r="AD95" s="135"/>
      <c r="AE95" s="135">
        <f t="shared" ref="AE95" si="73">(IF(AE$78=0,0,IF(AE$78&lt;&gt;0,1,)))*(IF($AS$1=0,0,IF($AS$1=1,IF(AE$87-AK$57&gt;=0,0,IF(AE85=0,0,(AE78+AE94*AE81)/AE85)),IF($AS$1=2,0,))))</f>
        <v>0</v>
      </c>
      <c r="AF95" s="135"/>
      <c r="AG95" s="135"/>
      <c r="AH95" s="135">
        <f t="shared" ref="AH95" si="74">(IF(AH$78=0,0,IF(AH$78&lt;&gt;0,1,)))*(IF($AS$1=0,0,IF($AS$1=1,IF(AH$87-AN$57&gt;=0,0,IF(AH85=0,0,(AH78+AH94*AH81)/AH85)),IF($AS$1=2,0,))))</f>
        <v>0</v>
      </c>
      <c r="AI95" s="135"/>
      <c r="AJ95" s="135"/>
      <c r="AK95" s="135">
        <f t="shared" ref="AK95" si="75">(IF(AK$78=0,0,IF(AK$78&lt;&gt;0,1,)))*(IF($AS$1=0,0,IF($AS$1=1,IF(AK$87-AQ$57&gt;=0,0,IF(AK85=0,0,(AK78+AK94*AK81)/AK85)),IF($AS$1=2,0,))))</f>
        <v>0</v>
      </c>
      <c r="AL95" s="135"/>
      <c r="AM95" s="135"/>
      <c r="AN95" s="399">
        <f>(IF(AN$78=0,0,IF(AN$78&lt;&gt;0,1,)))*(IF($AS$1=0,0,IF($AS$1=1,0,IF($AS$1=2,IF($J$88-$J$89&gt;=0,0,IF(AN85=0,0,AN78/AN85))))))</f>
        <v>0</v>
      </c>
      <c r="AO95" s="400"/>
      <c r="AP95" s="401"/>
      <c r="AQ95" s="381">
        <f>(IF(AQ$78=0,0,IF(AQ$78&lt;&gt;0,1,)))*(IF($AS$1=0,0,IF($AS$1=1,0,IF($AS$1=2,IF($J$88-$J$89&gt;=0,0,IF(AQ85=0,0,AQ78/AQ85))))))</f>
        <v>0</v>
      </c>
      <c r="AR95" s="381"/>
      <c r="AS95" s="381"/>
    </row>
    <row r="96" spans="1:45" s="14" customFormat="1" ht="15.75" customHeight="1">
      <c r="A96" s="64">
        <v>18</v>
      </c>
      <c r="B96" s="575" t="s">
        <v>318</v>
      </c>
      <c r="C96" s="576"/>
      <c r="D96" s="576"/>
      <c r="E96" s="167">
        <f>IF($AS$1=0,0,CHOOSE($AS$1,"ТГ","КПГЦ"))</f>
        <v>0</v>
      </c>
      <c r="F96" s="167"/>
      <c r="G96" s="168"/>
      <c r="H96" s="134" t="s">
        <v>47</v>
      </c>
      <c r="I96" s="134"/>
      <c r="J96" s="204">
        <f>(IF(J$78=0,0,IF(J$78&lt;&gt;0,1,)))*(IF($AS$1=0,0,IF($AS$1=1,0,IF($AS$1=2,IF($J$88&gt;=$J$89,0,ROUND(IF($J$89-$J$95=0,0,J95/($J$89-$J$95)),4)),))))</f>
        <v>0</v>
      </c>
      <c r="K96" s="204"/>
      <c r="L96" s="204"/>
      <c r="M96" s="205">
        <f>(IF(M$78=0,0,IF(M$78&lt;&gt;0,1,)))*(IF($AS$1=0,0,IF($AS$1=1,IF(M87-S57&gt;=0,0,IF(M87-S57&lt;0,ROUND(IF(S57-M95=0,0,(M95-M94*S57)/(S57-M95)),4))),IF($AS$1=2,0,))))</f>
        <v>0</v>
      </c>
      <c r="N96" s="205"/>
      <c r="O96" s="205"/>
      <c r="P96" s="205">
        <f t="shared" ref="P96" si="76">(IF(P$78=0,0,IF(P$78&lt;&gt;0,1,)))*(IF($AS$1=0,0,IF($AS$1=1,IF(P87-V57&gt;=0,0,IF(P87-V57&lt;0,ROUND(IF(V57-P95=0,0,(P95-P94*V57)/(V57-P95)),4))),IF($AS$1=2,0,))))</f>
        <v>0</v>
      </c>
      <c r="Q96" s="205"/>
      <c r="R96" s="205"/>
      <c r="S96" s="205">
        <f t="shared" ref="S96" si="77">(IF(S$78=0,0,IF(S$78&lt;&gt;0,1,)))*(IF($AS$1=0,0,IF($AS$1=1,IF(S87-Y57&gt;=0,0,IF(S87-Y57&lt;0,ROUND(IF(Y57-S95=0,0,(S95-S94*Y57)/(Y57-S95)),4))),IF($AS$1=2,0,))))</f>
        <v>0</v>
      </c>
      <c r="T96" s="205"/>
      <c r="U96" s="205"/>
      <c r="V96" s="205">
        <f t="shared" ref="V96" si="78">(IF(V$78=0,0,IF(V$78&lt;&gt;0,1,)))*(IF($AS$1=0,0,IF($AS$1=1,IF(V87-AB57&gt;=0,0,IF(V87-AB57&lt;0,ROUND(IF(AB57-V95=0,0,(V95-V94*AB57)/(AB57-V95)),4))),IF($AS$1=2,0,))))</f>
        <v>0</v>
      </c>
      <c r="W96" s="205"/>
      <c r="X96" s="205"/>
      <c r="Y96" s="205">
        <f t="shared" ref="Y96" si="79">(IF(Y$78=0,0,IF(Y$78&lt;&gt;0,1,)))*(IF($AS$1=0,0,IF($AS$1=1,IF(Y87-AE57&gt;=0,0,IF(Y87-AE57&lt;0,ROUND(IF(AE57-Y95=0,0,(Y95-Y94*AE57)/(AE57-Y95)),4))),IF($AS$1=2,0,))))</f>
        <v>0</v>
      </c>
      <c r="Z96" s="205"/>
      <c r="AA96" s="205"/>
      <c r="AB96" s="205">
        <f t="shared" ref="AB96" si="80">(IF(AB$78=0,0,IF(AB$78&lt;&gt;0,1,)))*(IF($AS$1=0,0,IF($AS$1=1,IF(AB87-AH57&gt;=0,0,IF(AB87-AH57&lt;0,ROUND(IF(AH57-AB95=0,0,(AB95-AB94*AH57)/(AH57-AB95)),4))),IF($AS$1=2,0,))))</f>
        <v>0</v>
      </c>
      <c r="AC96" s="205"/>
      <c r="AD96" s="205"/>
      <c r="AE96" s="205">
        <f t="shared" ref="AE96" si="81">(IF(AE$78=0,0,IF(AE$78&lt;&gt;0,1,)))*(IF($AS$1=0,0,IF($AS$1=1,IF(AE87-AK57&gt;=0,0,IF(AE87-AK57&lt;0,ROUND(IF(AK57-AE95=0,0,(AE95-AE94*AK57)/(AK57-AE95)),4))),IF($AS$1=2,0,))))</f>
        <v>0</v>
      </c>
      <c r="AF96" s="205"/>
      <c r="AG96" s="205"/>
      <c r="AH96" s="205">
        <f t="shared" ref="AH96" si="82">(IF(AH$78=0,0,IF(AH$78&lt;&gt;0,1,)))*(IF($AS$1=0,0,IF($AS$1=1,IF(AH87-AN57&gt;=0,0,IF(AH87-AN57&lt;0,ROUND(IF(AN57-AH95=0,0,(AH95-AH94*AN57)/(AN57-AH95)),4))),IF($AS$1=2,0,))))</f>
        <v>0</v>
      </c>
      <c r="AI96" s="205"/>
      <c r="AJ96" s="205"/>
      <c r="AK96" s="205">
        <f t="shared" ref="AK96" si="83">(IF(AK$78=0,0,IF(AK$78&lt;&gt;0,1,)))*(IF($AS$1=0,0,IF($AS$1=1,IF(AK87-AQ57&gt;=0,0,IF(AK87-AQ57&lt;0,ROUND(IF(AQ57-AK95=0,0,(AK95-AK94*AQ57)/(AQ57-AK95)),4))),IF($AS$1=2,0,))))</f>
        <v>0</v>
      </c>
      <c r="AL96" s="205"/>
      <c r="AM96" s="205"/>
      <c r="AN96" s="394">
        <f>IF($AS$1=0,0,IF($AS$1=1,0,IF($AS$1=2,0,)))</f>
        <v>0</v>
      </c>
      <c r="AO96" s="394"/>
      <c r="AP96" s="394"/>
      <c r="AQ96" s="394">
        <f>IF($AS$1=0,0,IF($AS$1=1,0,IF($AS$1=2,0,)))</f>
        <v>0</v>
      </c>
      <c r="AR96" s="394"/>
      <c r="AS96" s="394"/>
    </row>
    <row r="97" spans="1:45" s="14" customFormat="1" ht="15.75" customHeight="1">
      <c r="A97" s="64">
        <v>19</v>
      </c>
      <c r="B97" s="136" t="s">
        <v>337</v>
      </c>
      <c r="C97" s="137"/>
      <c r="D97" s="137"/>
      <c r="E97" s="138">
        <f>IF($AS$1=0,0,CHOOSE($AS$1,"ТГ","КПГЦ"))</f>
        <v>0</v>
      </c>
      <c r="F97" s="138"/>
      <c r="G97" s="139"/>
      <c r="H97" s="134" t="s">
        <v>1</v>
      </c>
      <c r="I97" s="134"/>
      <c r="J97" s="392">
        <f>IF($J$78=0,0,IF($AS$1=0,0,IF($AS$1=1,ROUND(SUM(M97:AM97),3),IF($AS$1=2,IF($J$88-$J$89&gt;=0,$J$78,IF($J$88-$J$89&lt;0,ROUND($J$96*$J$81,3),))))))</f>
        <v>0</v>
      </c>
      <c r="K97" s="392"/>
      <c r="L97" s="392"/>
      <c r="M97" s="392">
        <f>IF(M$78=0,0,IF($AS$1=0,0,IF($AS$1=1,IF(M$87&gt;=S$57,M$78,IF(M$87&lt;S$57,ROUND(M81*M96,3))),IF($AS$1=2,0,))))</f>
        <v>0</v>
      </c>
      <c r="N97" s="392"/>
      <c r="O97" s="392"/>
      <c r="P97" s="392">
        <f t="shared" ref="P97" si="84">IF(P$78=0,0,IF($AS$1=0,0,IF($AS$1=1,IF(P$87&gt;=V$57,P$78,IF(P$87&lt;V$57,ROUND(P81*P96,3))),IF($AS$1=2,0,))))</f>
        <v>0</v>
      </c>
      <c r="Q97" s="392"/>
      <c r="R97" s="392"/>
      <c r="S97" s="392">
        <f t="shared" ref="S97" si="85">IF(S$78=0,0,IF($AS$1=0,0,IF($AS$1=1,IF(S$87&gt;=Y$57,S$78,IF(S$87&lt;Y$57,ROUND(S81*S96,3))),IF($AS$1=2,0,))))</f>
        <v>0</v>
      </c>
      <c r="T97" s="392"/>
      <c r="U97" s="392"/>
      <c r="V97" s="392">
        <f t="shared" ref="V97" si="86">IF(V$78=0,0,IF($AS$1=0,0,IF($AS$1=1,IF(V$87&gt;=AB$57,V$78,IF(V$87&lt;AB$57,ROUND(V81*V96,3))),IF($AS$1=2,0,))))</f>
        <v>0</v>
      </c>
      <c r="W97" s="392"/>
      <c r="X97" s="392"/>
      <c r="Y97" s="392">
        <f t="shared" ref="Y97" si="87">IF(Y$78=0,0,IF($AS$1=0,0,IF($AS$1=1,IF(Y$87&gt;=AE$57,Y$78,IF(Y$87&lt;AE$57,ROUND(Y81*Y96,3))),IF($AS$1=2,0,))))</f>
        <v>0</v>
      </c>
      <c r="Z97" s="392"/>
      <c r="AA97" s="392"/>
      <c r="AB97" s="392">
        <f t="shared" ref="AB97" si="88">IF(AB$78=0,0,IF($AS$1=0,0,IF($AS$1=1,IF(AB$87&gt;=AH$57,AB$78,IF(AB$87&lt;AH$57,ROUND(AB81*AB96,3))),IF($AS$1=2,0,))))</f>
        <v>0</v>
      </c>
      <c r="AC97" s="392"/>
      <c r="AD97" s="392"/>
      <c r="AE97" s="392">
        <f t="shared" ref="AE97" si="89">IF(AE$78=0,0,IF($AS$1=0,0,IF($AS$1=1,IF(AE$87&gt;=AK$57,AE$78,IF(AE$87&lt;AK$57,ROUND(AE81*AE96,3))),IF($AS$1=2,0,))))</f>
        <v>0</v>
      </c>
      <c r="AF97" s="392"/>
      <c r="AG97" s="392"/>
      <c r="AH97" s="392">
        <f t="shared" ref="AH97" si="90">IF(AH$78=0,0,IF($AS$1=0,0,IF($AS$1=1,IF(AH$87&gt;=AN$57,AH$78,IF(AH$87&lt;AN$57,ROUND(AH81*AH96,3))),IF($AS$1=2,0,))))</f>
        <v>0</v>
      </c>
      <c r="AI97" s="392"/>
      <c r="AJ97" s="392"/>
      <c r="AK97" s="392">
        <f t="shared" ref="AK97" si="91">IF(AK$78=0,0,IF($AS$1=0,0,IF($AS$1=1,IF(AK$87&gt;=AQ$57,AK$78,IF(AK$87&lt;AQ$57,ROUND(AK81*AK96,3))),IF($AS$1=2,0,))))</f>
        <v>0</v>
      </c>
      <c r="AL97" s="392"/>
      <c r="AM97" s="392"/>
      <c r="AN97" s="393">
        <f t="shared" ref="AN97:AQ100" si="92">IF($AS$1=0,0,IF($AS$1=1,0,IF($AS$1=2,0,)))</f>
        <v>0</v>
      </c>
      <c r="AO97" s="393"/>
      <c r="AP97" s="393"/>
      <c r="AQ97" s="393">
        <f t="shared" ref="AQ97" si="93">IF($AS$1=0,0,IF($AS$1=1,0,IF($AS$1=2,0,)))</f>
        <v>0</v>
      </c>
      <c r="AR97" s="393"/>
      <c r="AS97" s="393"/>
    </row>
    <row r="98" spans="1:45" s="14" customFormat="1" ht="15.75" customHeight="1">
      <c r="A98" s="64">
        <v>20</v>
      </c>
      <c r="B98" s="226" t="s">
        <v>377</v>
      </c>
      <c r="C98" s="227"/>
      <c r="D98" s="227"/>
      <c r="E98" s="138">
        <f>IF($AS$1=0,0,CHOOSE($AS$1,"ТГ","КПГЦ"))</f>
        <v>0</v>
      </c>
      <c r="F98" s="138"/>
      <c r="G98" s="139"/>
      <c r="H98" s="134" t="s">
        <v>1</v>
      </c>
      <c r="I98" s="134"/>
      <c r="J98" s="392">
        <f>IF($J$78=0,0,IF($AS$1=0,0,IF($AS$1=1,SUM(M98:AM98),IF($AS$1=2,SUM($J$78,-$J$97),))))</f>
        <v>0</v>
      </c>
      <c r="K98" s="392"/>
      <c r="L98" s="392"/>
      <c r="M98" s="392">
        <f>IF(M$78=0,0,IF($AS$1=0,0,IF($AS$1=1,SUM(M$78,-M$97),IF($AS$1=2,0,))))</f>
        <v>0</v>
      </c>
      <c r="N98" s="392"/>
      <c r="O98" s="392"/>
      <c r="P98" s="392">
        <f t="shared" ref="P98" si="94">IF(P$78=0,0,IF($AS$1=0,0,IF($AS$1=1,SUM(P$78,-P$97),IF($AS$1=2,0,))))</f>
        <v>0</v>
      </c>
      <c r="Q98" s="392"/>
      <c r="R98" s="392"/>
      <c r="S98" s="392">
        <f t="shared" ref="S98" si="95">IF(S$78=0,0,IF($AS$1=0,0,IF($AS$1=1,SUM(S$78,-S$97),IF($AS$1=2,0,))))</f>
        <v>0</v>
      </c>
      <c r="T98" s="392"/>
      <c r="U98" s="392"/>
      <c r="V98" s="392">
        <f t="shared" ref="V98" si="96">IF(V$78=0,0,IF($AS$1=0,0,IF($AS$1=1,SUM(V$78,-V$97),IF($AS$1=2,0,))))</f>
        <v>0</v>
      </c>
      <c r="W98" s="392"/>
      <c r="X98" s="392"/>
      <c r="Y98" s="392">
        <f t="shared" ref="Y98" si="97">IF(Y$78=0,0,IF($AS$1=0,0,IF($AS$1=1,SUM(Y$78,-Y$97),IF($AS$1=2,0,))))</f>
        <v>0</v>
      </c>
      <c r="Z98" s="392"/>
      <c r="AA98" s="392"/>
      <c r="AB98" s="392">
        <f t="shared" ref="AB98" si="98">IF(AB$78=0,0,IF($AS$1=0,0,IF($AS$1=1,SUM(AB$78,-AB$97),IF($AS$1=2,0,))))</f>
        <v>0</v>
      </c>
      <c r="AC98" s="392"/>
      <c r="AD98" s="392"/>
      <c r="AE98" s="392">
        <f t="shared" ref="AE98" si="99">IF(AE$78=0,0,IF($AS$1=0,0,IF($AS$1=1,SUM(AE$78,-AE$97),IF($AS$1=2,0,))))</f>
        <v>0</v>
      </c>
      <c r="AF98" s="392"/>
      <c r="AG98" s="392"/>
      <c r="AH98" s="392">
        <f t="shared" ref="AH98" si="100">IF(AH$78=0,0,IF($AS$1=0,0,IF($AS$1=1,SUM(AH$78,-AH$97),IF($AS$1=2,0,))))</f>
        <v>0</v>
      </c>
      <c r="AI98" s="392"/>
      <c r="AJ98" s="392"/>
      <c r="AK98" s="392">
        <f t="shared" ref="AK98" si="101">IF(AK$78=0,0,IF($AS$1=0,0,IF($AS$1=1,SUM(AK$78,-AK$97),IF($AS$1=2,0,))))</f>
        <v>0</v>
      </c>
      <c r="AL98" s="392"/>
      <c r="AM98" s="392"/>
      <c r="AN98" s="393">
        <f t="shared" si="92"/>
        <v>0</v>
      </c>
      <c r="AO98" s="393"/>
      <c r="AP98" s="393"/>
      <c r="AQ98" s="393">
        <f t="shared" si="92"/>
        <v>0</v>
      </c>
      <c r="AR98" s="393"/>
      <c r="AS98" s="393"/>
    </row>
    <row r="99" spans="1:45" s="14" customFormat="1" ht="15.75" customHeight="1">
      <c r="A99" s="64">
        <v>21</v>
      </c>
      <c r="B99" s="140" t="s">
        <v>378</v>
      </c>
      <c r="C99" s="141"/>
      <c r="D99" s="141"/>
      <c r="E99" s="167">
        <f>IF($AS$1=0,0,CHOOSE($AS$1,"ТГ","КПГЦ"))</f>
        <v>0</v>
      </c>
      <c r="F99" s="167"/>
      <c r="G99" s="168"/>
      <c r="H99" s="134" t="s">
        <v>1</v>
      </c>
      <c r="I99" s="134"/>
      <c r="J99" s="392">
        <f>IF($J$77=0,0,IF($AS$1=0,0,IF($AS$1=1,ROUND(SUM(M99:AM99),3),IF($AS$1=2,ROUND(IF($J$95=0,0,$J$98/$J$95),3)))))</f>
        <v>0</v>
      </c>
      <c r="K99" s="392"/>
      <c r="L99" s="392"/>
      <c r="M99" s="392">
        <f>IF(M$77=0,0,IF($AS$1=0,0,IF($AS$1=1,ROUND(IF(M95=0,0,M98/M95),3),IF($AS$1=2,0,))))</f>
        <v>0</v>
      </c>
      <c r="N99" s="392"/>
      <c r="O99" s="392"/>
      <c r="P99" s="392">
        <f t="shared" ref="P99" si="102">IF(P$77=0,0,IF($AS$1=0,0,IF($AS$1=1,ROUND(IF(P95=0,0,P98/P95),3),IF($AS$1=2,0,))))</f>
        <v>0</v>
      </c>
      <c r="Q99" s="392"/>
      <c r="R99" s="392"/>
      <c r="S99" s="392">
        <f t="shared" ref="S99" si="103">IF(S$77=0,0,IF($AS$1=0,0,IF($AS$1=1,ROUND(IF(S95=0,0,S98/S95),3),IF($AS$1=2,0,))))</f>
        <v>0</v>
      </c>
      <c r="T99" s="392"/>
      <c r="U99" s="392"/>
      <c r="V99" s="392">
        <f t="shared" ref="V99" si="104">IF(V$77=0,0,IF($AS$1=0,0,IF($AS$1=1,ROUND(IF(V95=0,0,V98/V95),3),IF($AS$1=2,0,))))</f>
        <v>0</v>
      </c>
      <c r="W99" s="392"/>
      <c r="X99" s="392"/>
      <c r="Y99" s="392">
        <f t="shared" ref="Y99" si="105">IF(Y$77=0,0,IF($AS$1=0,0,IF($AS$1=1,ROUND(IF(Y95=0,0,Y98/Y95),3),IF($AS$1=2,0,))))</f>
        <v>0</v>
      </c>
      <c r="Z99" s="392"/>
      <c r="AA99" s="392"/>
      <c r="AB99" s="392">
        <f t="shared" ref="AB99" si="106">IF(AB$77=0,0,IF($AS$1=0,0,IF($AS$1=1,ROUND(IF(AB95=0,0,AB98/AB95),3),IF($AS$1=2,0,))))</f>
        <v>0</v>
      </c>
      <c r="AC99" s="392"/>
      <c r="AD99" s="392"/>
      <c r="AE99" s="392">
        <f t="shared" ref="AE99" si="107">IF(AE$77=0,0,IF($AS$1=0,0,IF($AS$1=1,ROUND(IF(AE95=0,0,AE98/AE95),3),IF($AS$1=2,0,))))</f>
        <v>0</v>
      </c>
      <c r="AF99" s="392"/>
      <c r="AG99" s="392"/>
      <c r="AH99" s="392">
        <f t="shared" ref="AH99" si="108">IF(AH$77=0,0,IF($AS$1=0,0,IF($AS$1=1,ROUND(IF(AH95=0,0,AH98/AH95),3),IF($AS$1=2,0,))))</f>
        <v>0</v>
      </c>
      <c r="AI99" s="392"/>
      <c r="AJ99" s="392"/>
      <c r="AK99" s="392">
        <f t="shared" ref="AK99" si="109">IF(AK$77=0,0,IF($AS$1=0,0,IF($AS$1=1,ROUND(IF(AK95=0,0,AK98/AK95),3),IF($AS$1=2,0,))))</f>
        <v>0</v>
      </c>
      <c r="AL99" s="392"/>
      <c r="AM99" s="392"/>
      <c r="AN99" s="393">
        <f t="shared" si="92"/>
        <v>0</v>
      </c>
      <c r="AO99" s="393"/>
      <c r="AP99" s="393"/>
      <c r="AQ99" s="393">
        <f t="shared" si="92"/>
        <v>0</v>
      </c>
      <c r="AR99" s="393"/>
      <c r="AS99" s="393"/>
    </row>
    <row r="100" spans="1:45" s="14" customFormat="1" ht="15.75" customHeight="1">
      <c r="A100" s="64">
        <v>22</v>
      </c>
      <c r="B100" s="389" t="s">
        <v>374</v>
      </c>
      <c r="C100" s="390"/>
      <c r="D100" s="390"/>
      <c r="E100" s="390"/>
      <c r="F100" s="390"/>
      <c r="G100" s="391"/>
      <c r="H100" s="134" t="s">
        <v>1</v>
      </c>
      <c r="I100" s="134"/>
      <c r="J100" s="392">
        <f>IF($J$77=0,0,IF($AS$1=0,0,IF($AS$1=1,ROUND(SUM(M100:AM100),3),IF($AS$1=2,ROUND(SUM($J$77,-$J$99,-$J$84),3),))))</f>
        <v>0</v>
      </c>
      <c r="K100" s="392"/>
      <c r="L100" s="392"/>
      <c r="M100" s="392">
        <f>IF(M$77=0,0,IF($AS$1=0,0,IF($AS$1=1,ROUND(SUM(M77,-M99,-M84),3),IF($AS$1=2,0,))))</f>
        <v>0</v>
      </c>
      <c r="N100" s="392"/>
      <c r="O100" s="392"/>
      <c r="P100" s="392">
        <f t="shared" ref="P100" si="110">IF(P$77=0,0,IF($AS$1=0,0,IF($AS$1=1,ROUND(SUM(P77,-P99,-P84),3),IF($AS$1=2,0,))))</f>
        <v>0</v>
      </c>
      <c r="Q100" s="392"/>
      <c r="R100" s="392"/>
      <c r="S100" s="392">
        <f t="shared" ref="S100" si="111">IF(S$77=0,0,IF($AS$1=0,0,IF($AS$1=1,ROUND(SUM(S77,-S99,-S84),3),IF($AS$1=2,0,))))</f>
        <v>0</v>
      </c>
      <c r="T100" s="392"/>
      <c r="U100" s="392"/>
      <c r="V100" s="392">
        <f t="shared" ref="V100" si="112">IF(V$77=0,0,IF($AS$1=0,0,IF($AS$1=1,ROUND(SUM(V77,-V99,-V84),3),IF($AS$1=2,0,))))</f>
        <v>0</v>
      </c>
      <c r="W100" s="392"/>
      <c r="X100" s="392"/>
      <c r="Y100" s="392">
        <f t="shared" ref="Y100" si="113">IF(Y$77=0,0,IF($AS$1=0,0,IF($AS$1=1,ROUND(SUM(Y77,-Y99,-Y84),3),IF($AS$1=2,0,))))</f>
        <v>0</v>
      </c>
      <c r="Z100" s="392"/>
      <c r="AA100" s="392"/>
      <c r="AB100" s="392">
        <f t="shared" ref="AB100" si="114">IF(AB$77=0,0,IF($AS$1=0,0,IF($AS$1=1,ROUND(SUM(AB77,-AB99,-AB84),3),IF($AS$1=2,0,))))</f>
        <v>0</v>
      </c>
      <c r="AC100" s="392"/>
      <c r="AD100" s="392"/>
      <c r="AE100" s="392">
        <f t="shared" ref="AE100" si="115">IF(AE$77=0,0,IF($AS$1=0,0,IF($AS$1=1,ROUND(SUM(AE77,-AE99,-AE84),3),IF($AS$1=2,0,))))</f>
        <v>0</v>
      </c>
      <c r="AF100" s="392"/>
      <c r="AG100" s="392"/>
      <c r="AH100" s="392">
        <f t="shared" ref="AH100" si="116">IF(AH$77=0,0,IF($AS$1=0,0,IF($AS$1=1,ROUND(SUM(AH77,-AH99,-AH84),3),IF($AS$1=2,0,))))</f>
        <v>0</v>
      </c>
      <c r="AI100" s="392"/>
      <c r="AJ100" s="392"/>
      <c r="AK100" s="392">
        <f t="shared" ref="AK100" si="117">IF(AK$77=0,0,IF($AS$1=0,0,IF($AS$1=1,ROUND(SUM(AK77,-AK99,-AK84),3),IF($AS$1=2,0,))))</f>
        <v>0</v>
      </c>
      <c r="AL100" s="392"/>
      <c r="AM100" s="392"/>
      <c r="AN100" s="393">
        <f t="shared" si="92"/>
        <v>0</v>
      </c>
      <c r="AO100" s="393"/>
      <c r="AP100" s="393"/>
      <c r="AQ100" s="393">
        <f t="shared" si="92"/>
        <v>0</v>
      </c>
      <c r="AR100" s="393"/>
      <c r="AS100" s="393"/>
    </row>
    <row r="101" spans="1:45" s="14" customFormat="1" ht="15.75" customHeight="1">
      <c r="A101" s="64">
        <v>23</v>
      </c>
      <c r="B101" s="140" t="s">
        <v>319</v>
      </c>
      <c r="C101" s="141"/>
      <c r="D101" s="141"/>
      <c r="E101" s="167">
        <f>IF($AS$1=0,0,CHOOSE($AS$1,"ТГ","КПГЦ"))</f>
        <v>0</v>
      </c>
      <c r="F101" s="167"/>
      <c r="G101" s="168"/>
      <c r="H101" s="134" t="s">
        <v>24</v>
      </c>
      <c r="I101" s="134"/>
      <c r="J101" s="135">
        <f>IF($AS$1=0,0,IF($AS$1=1,0,IF($AS$1=2,ROUND(IF(J78=0,0,SUMPRODUCT(M78:AS78,M101:AS101)/J78),4),)))</f>
        <v>0</v>
      </c>
      <c r="K101" s="135"/>
      <c r="L101" s="135"/>
      <c r="M101" s="135">
        <f>IF(S58=0,0,IF($V$7=0,(IF(M$78=0,0,IF(M$78&lt;&gt;0,1,)))*(((IF($G$9=0,0,IF($G$9&lt;&gt;0,1,)))*(IF(SUM($J$8,$M$8)=0,0,($G$9*$AJ$9/3600)/(SUM($J$8,$M$8))))*(IF($C$9=0,0,CHOOSE($C$9,IF($D$9=0,0,CHOOSE($D$9,IF(S$55=0,0,CHOOSE(S$55,52.5,53)),IF(S$55=0,0,CHOOSE(S$55,44.2,44.2)),IF(S$55=0,0,CHOOSE(S$55,42,42)),IF(S$55=0,0,CHOOSE(S$55,35,35)))),IF($D$9=0,0,CHOOSE($D$9,IF(S$55=0,0,CHOOSE(S$55,44.2,44.2)),IF(S$55=0,0,CHOOSE(S$55,44.2,44.2)),IF(S$55=0,0,CHOOSE(S$55,25,29)))),IF($D$9=0,0,CHOOSE($D$9,IF(S$55=0,0,CHOOSE(S$55,42.2,44.2)),IF(S$55=0,0,CHOOSE(S$55,41.8,41.8)),IF(S$55=0,0,CHOOSE(S$55,39,39)),IF(S$55=0,0,CHOOSE(S$55,33,37)),IF(S$55=0,0,CHOOSE(S$55,25,30)),IF(S$55=0,0,CHOOSE(S$55,25,25)))),IF($D$9=0,0,CHOOSE($D$9,IF(S$55=0,0,CHOOSE(S$55,30,30)),IF(S$55=0,0,CHOOSE(S$55,33,33)),IF(S$55=0,0,CHOOSE(S$55,30,30)),IF(S$55=0,0,CHOOSE(S$55,19.5,19.5)),IF(S$55=0,0,CHOOSE(S$55,30,30)))))))+(IF($G$10=0,0,IF($G$10&lt;&gt;0,1,)))*(IF(SUM($J$8,$M$8)=0,0,($G$10*$AJ$10/3600)/(SUM($J$8,$M$8))))*(IF($C$10=0,0,CHOOSE($C$10,IF($D$10=0,0,CHOOSE($D$10,IF(S$55=0,0,CHOOSE(S$55,52.5,53)),IF(S$55=0,0,CHOOSE(S$55,44.2,44.2)),IF(S$55=0,0,CHOOSE(S$55,42,42)),IF(S$55=0,0,CHOOSE(S$55,35,35)))),IF($D$10=0,0,CHOOSE($D$10,IF(S$55=0,0,CHOOSE(S$55,44.2,44.2)),IF(S$55=0,0,CHOOSE(S$55,44.2,44.2)),IF(S$55=0,0,CHOOSE(S$55,25,29)))),IF($D$10=0,0,CHOOSE($D$10,IF(S$55=0,0,CHOOSE(S$55,42.2,44.2)),IF(S$55=0,0,CHOOSE(S$55,41.8,41.8)),IF(S$55=0,0,CHOOSE(S$55,39,39)),IF(S$55=0,0,CHOOSE(S$55,33,37)),IF(S$55=0,0,CHOOSE(S$55,25,30)),IF(S$55=0,0,CHOOSE(S$55,25,25)))),IF($D$10=0,0,CHOOSE($D$10,IF(S$55=0,0,CHOOSE(S$55,30,30)),IF(S$55=0,0,CHOOSE(S$55,33,33)),IF(S$55=0,0,CHOOSE(S$55,30,30)),IF(S$55=0,0,CHOOSE(S$55,19.5,19.5)),IF(S$55=0,0,CHOOSE(S$55,30,30)))))))+(IF($G$11=0,0,IF($G$11&lt;&gt;0,1,)))*(IF(SUM($J$8,$M$8)=0,0,($G$11*$AJ$11/3600)/(SUM($J$8,$M$8))))*(IF($C$11=0,0,CHOOSE($C$11,IF($D$11=0,0,CHOOSE($D$11,IF(S$55=0,0,CHOOSE(S$55,52.5,53)),IF(S$55=0,0,CHOOSE(S$55,44.2,44.2)),IF(S$55=0,0,CHOOSE(S$55,42,42)),IF(S$55=0,0,CHOOSE(S$55,35,35)))),IF($D$11=0,0,CHOOSE($D$11,IF(S$55=0,0,CHOOSE(S$55,44.2,44.2)),IF(S$55=0,0,CHOOSE(S$55,44.2,44.2)),IF(S$55=0,0,CHOOSE(S$55,25,29)))),IF($D$11=0,0,CHOOSE($D$11,IF(S$55=0,0,CHOOSE(S$55,42.2,44.2)),IF(S$55=0,0,CHOOSE(S$55,41.8,41.8)),IF(S$55=0,0,CHOOSE(S$55,39,39)),IF(S$55=0,0,CHOOSE(S$55,33,37)),IF(S$55=0,0,CHOOSE(S$55,25,30)),IF(S$55=0,0,CHOOSE(S$55,25,25)))),IF($D$11=0,0,CHOOSE($D$11,IF(S$55=0,0,CHOOSE(S$55,30,30)),IF(S$55=0,0,CHOOSE(S$55,33,33)),IF(S$55=0,0,CHOOSE(S$55,30,30)),IF(S$55=0,0,CHOOSE(S$55,19.5,19.5)),IF(S$55=0,0,CHOOSE(S$55,30,30)))))))+(IF($G$12=0,0,IF($G$12&lt;&gt;0,1,)))*(IF(SUM($J$8,$M$8)=0,0,($G$12*$AJ$12/3600)/(SUM($J$8,$M$8))))*(IF($C$12=0,0,CHOOSE($C$12,IF($D$12=0,0,CHOOSE($D$12,IF(S$55=0,0,CHOOSE(S$55,52.5,53)),IF(S$55=0,0,CHOOSE(S$55,44.2,44.2)),IF(S$55=0,0,CHOOSE(S$55,42,42)),IF(S$55=0,0,CHOOSE(S$55,35,35)))),IF($D$12=0,0,CHOOSE($D$12,IF(S$55=0,0,CHOOSE(S$55,44.2,44.2)),IF(S$55=0,0,CHOOSE(S$55,44.2,44.2)),IF(S$55=0,0,CHOOSE(S$55,25,29)))),IF($D$12=0,0,CHOOSE($D$12,IF(S$55=0,0,CHOOSE(S$55,42.2,44.2)),IF(S$55=0,0,CHOOSE(S$55,41.8,41.8)),IF(S$55=0,0,CHOOSE(S$55,39,39)),IF(S$55=0,0,CHOOSE(S$55,33,37)),IF(S$55=0,0,CHOOSE(S$55,25,30)),IF(S$55=0,0,CHOOSE(S$55,25,25)))),IF($D$12=0,0,CHOOSE($D$12,IF(S$55=0,0,CHOOSE(S$55,30,30)),IF(S$55=0,0,CHOOSE(S$55,33,33)),IF(S$55=0,0,CHOOSE(S$55,30,30)),IF(S$55=0,0,CHOOSE(S$55,19.5,19.5)),IF(S$55=0,0,CHOOSE(S$55,30,30))))))))/100+IF($AO$2=0,0,$AO$3))*($M$108*$M$113+$W$111*$W$113),$AN$101))</f>
        <v>0</v>
      </c>
      <c r="N101" s="135"/>
      <c r="O101" s="135"/>
      <c r="P101" s="135">
        <f t="shared" ref="P101" si="118">IF(V58=0,0,IF($V$7=0,(IF(P$78=0,0,IF(P$78&lt;&gt;0,1,)))*(((IF($G$9=0,0,IF($G$9&lt;&gt;0,1,)))*(IF(SUM($J$8,$M$8)=0,0,($G$9*$AJ$9/3600)/(SUM($J$8,$M$8))))*(IF($C$9=0,0,CHOOSE($C$9,IF($D$9=0,0,CHOOSE($D$9,IF(V$55=0,0,CHOOSE(V$55,52.5,53)),IF(V$55=0,0,CHOOSE(V$55,44.2,44.2)),IF(V$55=0,0,CHOOSE(V$55,42,42)),IF(V$55=0,0,CHOOSE(V$55,35,35)))),IF($D$9=0,0,CHOOSE($D$9,IF(V$55=0,0,CHOOSE(V$55,44.2,44.2)),IF(V$55=0,0,CHOOSE(V$55,44.2,44.2)),IF(V$55=0,0,CHOOSE(V$55,25,29)))),IF($D$9=0,0,CHOOSE($D$9,IF(V$55=0,0,CHOOSE(V$55,42.2,44.2)),IF(V$55=0,0,CHOOSE(V$55,41.8,41.8)),IF(V$55=0,0,CHOOSE(V$55,39,39)),IF(V$55=0,0,CHOOSE(V$55,33,37)),IF(V$55=0,0,CHOOSE(V$55,25,30)),IF(V$55=0,0,CHOOSE(V$55,25,25)))),IF($D$9=0,0,CHOOSE($D$9,IF(V$55=0,0,CHOOSE(V$55,30,30)),IF(V$55=0,0,CHOOSE(V$55,33,33)),IF(V$55=0,0,CHOOSE(V$55,30,30)),IF(V$55=0,0,CHOOSE(V$55,19.5,19.5)),IF(V$55=0,0,CHOOSE(V$55,30,30)))))))+(IF($G$10=0,0,IF($G$10&lt;&gt;0,1,)))*(IF(SUM($J$8,$M$8)=0,0,($G$10*$AJ$10/3600)/(SUM($J$8,$M$8))))*(IF($C$10=0,0,CHOOSE($C$10,IF($D$10=0,0,CHOOSE($D$10,IF(V$55=0,0,CHOOSE(V$55,52.5,53)),IF(V$55=0,0,CHOOSE(V$55,44.2,44.2)),IF(V$55=0,0,CHOOSE(V$55,42,42)),IF(V$55=0,0,CHOOSE(V$55,35,35)))),IF($D$10=0,0,CHOOSE($D$10,IF(V$55=0,0,CHOOSE(V$55,44.2,44.2)),IF(V$55=0,0,CHOOSE(V$55,44.2,44.2)),IF(V$55=0,0,CHOOSE(V$55,25,29)))),IF($D$10=0,0,CHOOSE($D$10,IF(V$55=0,0,CHOOSE(V$55,42.2,44.2)),IF(V$55=0,0,CHOOSE(V$55,41.8,41.8)),IF(V$55=0,0,CHOOSE(V$55,39,39)),IF(V$55=0,0,CHOOSE(V$55,33,37)),IF(V$55=0,0,CHOOSE(V$55,25,30)),IF(V$55=0,0,CHOOSE(V$55,25,25)))),IF($D$10=0,0,CHOOSE($D$10,IF(V$55=0,0,CHOOSE(V$55,30,30)),IF(V$55=0,0,CHOOSE(V$55,33,33)),IF(V$55=0,0,CHOOSE(V$55,30,30)),IF(V$55=0,0,CHOOSE(V$55,19.5,19.5)),IF(V$55=0,0,CHOOSE(V$55,30,30)))))))+(IF($G$11=0,0,IF($G$11&lt;&gt;0,1,)))*(IF(SUM($J$8,$M$8)=0,0,($G$11*$AJ$11/3600)/(SUM($J$8,$M$8))))*(IF($C$11=0,0,CHOOSE($C$11,IF($D$11=0,0,CHOOSE($D$11,IF(V$55=0,0,CHOOSE(V$55,52.5,53)),IF(V$55=0,0,CHOOSE(V$55,44.2,44.2)),IF(V$55=0,0,CHOOSE(V$55,42,42)),IF(V$55=0,0,CHOOSE(V$55,35,35)))),IF($D$11=0,0,CHOOSE($D$11,IF(V$55=0,0,CHOOSE(V$55,44.2,44.2)),IF(V$55=0,0,CHOOSE(V$55,44.2,44.2)),IF(V$55=0,0,CHOOSE(V$55,25,29)))),IF($D$11=0,0,CHOOSE($D$11,IF(V$55=0,0,CHOOSE(V$55,42.2,44.2)),IF(V$55=0,0,CHOOSE(V$55,41.8,41.8)),IF(V$55=0,0,CHOOSE(V$55,39,39)),IF(V$55=0,0,CHOOSE(V$55,33,37)),IF(V$55=0,0,CHOOSE(V$55,25,30)),IF(V$55=0,0,CHOOSE(V$55,25,25)))),IF($D$11=0,0,CHOOSE($D$11,IF(V$55=0,0,CHOOSE(V$55,30,30)),IF(V$55=0,0,CHOOSE(V$55,33,33)),IF(V$55=0,0,CHOOSE(V$55,30,30)),IF(V$55=0,0,CHOOSE(V$55,19.5,19.5)),IF(V$55=0,0,CHOOSE(V$55,30,30)))))))+(IF($G$12=0,0,IF($G$12&lt;&gt;0,1,)))*(IF(SUM($J$8,$M$8)=0,0,($G$12*$AJ$12/3600)/(SUM($J$8,$M$8))))*(IF($C$12=0,0,CHOOSE($C$12,IF($D$12=0,0,CHOOSE($D$12,IF(V$55=0,0,CHOOSE(V$55,52.5,53)),IF(V$55=0,0,CHOOSE(V$55,44.2,44.2)),IF(V$55=0,0,CHOOSE(V$55,42,42)),IF(V$55=0,0,CHOOSE(V$55,35,35)))),IF($D$12=0,0,CHOOSE($D$12,IF(V$55=0,0,CHOOSE(V$55,44.2,44.2)),IF(V$55=0,0,CHOOSE(V$55,44.2,44.2)),IF(V$55=0,0,CHOOSE(V$55,25,29)))),IF($D$12=0,0,CHOOSE($D$12,IF(V$55=0,0,CHOOSE(V$55,42.2,44.2)),IF(V$55=0,0,CHOOSE(V$55,41.8,41.8)),IF(V$55=0,0,CHOOSE(V$55,39,39)),IF(V$55=0,0,CHOOSE(V$55,33,37)),IF(V$55=0,0,CHOOSE(V$55,25,30)),IF(V$55=0,0,CHOOSE(V$55,25,25)))),IF($D$12=0,0,CHOOSE($D$12,IF(V$55=0,0,CHOOSE(V$55,30,30)),IF(V$55=0,0,CHOOSE(V$55,33,33)),IF(V$55=0,0,CHOOSE(V$55,30,30)),IF(V$55=0,0,CHOOSE(V$55,19.5,19.5)),IF(V$55=0,0,CHOOSE(V$55,30,30))))))))/100+IF($AO$2=0,0,$AO$3))*($M$108*$M$113+$W$111*$W$113),$AN$101))</f>
        <v>0</v>
      </c>
      <c r="Q101" s="135"/>
      <c r="R101" s="135"/>
      <c r="S101" s="175">
        <f t="shared" ref="S101" si="119">IF(Y58=0,0,IF($V$7=0,(IF(S$78=0,0,IF(S$78&lt;&gt;0,1,)))*(((IF($G$9=0,0,IF($G$9&lt;&gt;0,1,)))*(IF(SUM($J$8,$M$8)=0,0,($G$9*$AJ$9/3600)/(SUM($J$8,$M$8))))*(IF($C$9=0,0,CHOOSE($C$9,IF($D$9=0,0,CHOOSE($D$9,IF(Y$55=0,0,CHOOSE(Y$55,52.5,53)),IF(Y$55=0,0,CHOOSE(Y$55,44.2,44.2)),IF(Y$55=0,0,CHOOSE(Y$55,42,42)),IF(Y$55=0,0,CHOOSE(Y$55,35,35)))),IF($D$9=0,0,CHOOSE($D$9,IF(Y$55=0,0,CHOOSE(Y$55,44.2,44.2)),IF(Y$55=0,0,CHOOSE(Y$55,44.2,44.2)),IF(Y$55=0,0,CHOOSE(Y$55,25,29)))),IF($D$9=0,0,CHOOSE($D$9,IF(Y$55=0,0,CHOOSE(Y$55,42.2,44.2)),IF(Y$55=0,0,CHOOSE(Y$55,41.8,41.8)),IF(Y$55=0,0,CHOOSE(Y$55,39,39)),IF(Y$55=0,0,CHOOSE(Y$55,33,37)),IF(Y$55=0,0,CHOOSE(Y$55,25,30)),IF(Y$55=0,0,CHOOSE(Y$55,25,25)))),IF($D$9=0,0,CHOOSE($D$9,IF(Y$55=0,0,CHOOSE(Y$55,30,30)),IF(Y$55=0,0,CHOOSE(Y$55,33,33)),IF(Y$55=0,0,CHOOSE(Y$55,30,30)),IF(Y$55=0,0,CHOOSE(Y$55,19.5,19.5)),IF(Y$55=0,0,CHOOSE(Y$55,30,30)))))))+(IF($G$10=0,0,IF($G$10&lt;&gt;0,1,)))*(IF(SUM($J$8,$M$8)=0,0,($G$10*$AJ$10/3600)/(SUM($J$8,$M$8))))*(IF($C$10=0,0,CHOOSE($C$10,IF($D$10=0,0,CHOOSE($D$10,IF(Y$55=0,0,CHOOSE(Y$55,52.5,53)),IF(Y$55=0,0,CHOOSE(Y$55,44.2,44.2)),IF(Y$55=0,0,CHOOSE(Y$55,42,42)),IF(Y$55=0,0,CHOOSE(Y$55,35,35)))),IF($D$10=0,0,CHOOSE($D$10,IF(Y$55=0,0,CHOOSE(Y$55,44.2,44.2)),IF(Y$55=0,0,CHOOSE(Y$55,44.2,44.2)),IF(Y$55=0,0,CHOOSE(Y$55,25,29)))),IF($D$10=0,0,CHOOSE($D$10,IF(Y$55=0,0,CHOOSE(Y$55,42.2,44.2)),IF(Y$55=0,0,CHOOSE(Y$55,41.8,41.8)),IF(Y$55=0,0,CHOOSE(Y$55,39,39)),IF(Y$55=0,0,CHOOSE(Y$55,33,37)),IF(Y$55=0,0,CHOOSE(Y$55,25,30)),IF(Y$55=0,0,CHOOSE(Y$55,25,25)))),IF($D$10=0,0,CHOOSE($D$10,IF(Y$55=0,0,CHOOSE(Y$55,30,30)),IF(Y$55=0,0,CHOOSE(Y$55,33,33)),IF(Y$55=0,0,CHOOSE(Y$55,30,30)),IF(Y$55=0,0,CHOOSE(Y$55,19.5,19.5)),IF(Y$55=0,0,CHOOSE(Y$55,30,30)))))))+(IF($G$11=0,0,IF($G$11&lt;&gt;0,1,)))*(IF(SUM($J$8,$M$8)=0,0,($G$11*$AJ$11/3600)/(SUM($J$8,$M$8))))*(IF($C$11=0,0,CHOOSE($C$11,IF($D$11=0,0,CHOOSE($D$11,IF(Y$55=0,0,CHOOSE(Y$55,52.5,53)),IF(Y$55=0,0,CHOOSE(Y$55,44.2,44.2)),IF(Y$55=0,0,CHOOSE(Y$55,42,42)),IF(Y$55=0,0,CHOOSE(Y$55,35,35)))),IF($D$11=0,0,CHOOSE($D$11,IF(Y$55=0,0,CHOOSE(Y$55,44.2,44.2)),IF(Y$55=0,0,CHOOSE(Y$55,44.2,44.2)),IF(Y$55=0,0,CHOOSE(Y$55,25,29)))),IF($D$11=0,0,CHOOSE($D$11,IF(Y$55=0,0,CHOOSE(Y$55,42.2,44.2)),IF(Y$55=0,0,CHOOSE(Y$55,41.8,41.8)),IF(Y$55=0,0,CHOOSE(Y$55,39,39)),IF(Y$55=0,0,CHOOSE(Y$55,33,37)),IF(Y$55=0,0,CHOOSE(Y$55,25,30)),IF(Y$55=0,0,CHOOSE(Y$55,25,25)))),IF($D$11=0,0,CHOOSE($D$11,IF(Y$55=0,0,CHOOSE(Y$55,30,30)),IF(Y$55=0,0,CHOOSE(Y$55,33,33)),IF(Y$55=0,0,CHOOSE(Y$55,30,30)),IF(Y$55=0,0,CHOOSE(Y$55,19.5,19.5)),IF(Y$55=0,0,CHOOSE(Y$55,30,30)))))))+(IF($G$12=0,0,IF($G$12&lt;&gt;0,1,)))*(IF(SUM($J$8,$M$8)=0,0,($G$12*$AJ$12/3600)/(SUM($J$8,$M$8))))*(IF($C$12=0,0,CHOOSE($C$12,IF($D$12=0,0,CHOOSE($D$12,IF(Y$55=0,0,CHOOSE(Y$55,52.5,53)),IF(Y$55=0,0,CHOOSE(Y$55,44.2,44.2)),IF(Y$55=0,0,CHOOSE(Y$55,42,42)),IF(Y$55=0,0,CHOOSE(Y$55,35,35)))),IF($D$12=0,0,CHOOSE($D$12,IF(Y$55=0,0,CHOOSE(Y$55,44.2,44.2)),IF(Y$55=0,0,CHOOSE(Y$55,44.2,44.2)),IF(Y$55=0,0,CHOOSE(Y$55,25,29)))),IF($D$12=0,0,CHOOSE($D$12,IF(Y$55=0,0,CHOOSE(Y$55,42.2,44.2)),IF(Y$55=0,0,CHOOSE(Y$55,41.8,41.8)),IF(Y$55=0,0,CHOOSE(Y$55,39,39)),IF(Y$55=0,0,CHOOSE(Y$55,33,37)),IF(Y$55=0,0,CHOOSE(Y$55,25,30)),IF(Y$55=0,0,CHOOSE(Y$55,25,25)))),IF($D$12=0,0,CHOOSE($D$12,IF(Y$55=0,0,CHOOSE(Y$55,30,30)),IF(Y$55=0,0,CHOOSE(Y$55,33,33)),IF(Y$55=0,0,CHOOSE(Y$55,30,30)),IF(Y$55=0,0,CHOOSE(Y$55,19.5,19.5)),IF(Y$55=0,0,CHOOSE(Y$55,30,30))))))))/100+IF($AO$2=0,0,$AO$3))*($M$108*$M$113+$W$111*$W$113),$AN$101))</f>
        <v>0</v>
      </c>
      <c r="T101" s="175"/>
      <c r="U101" s="175"/>
      <c r="V101" s="135">
        <f t="shared" ref="V101" si="120">IF(AB58=0,0,IF($V$7=0,(IF(V$78=0,0,IF(V$78&lt;&gt;0,1,)))*(((IF($G$9=0,0,IF($G$9&lt;&gt;0,1,)))*(IF(SUM($J$8,$M$8)=0,0,($G$9*$AJ$9/3600)/(SUM($J$8,$M$8))))*(IF($C$9=0,0,CHOOSE($C$9,IF($D$9=0,0,CHOOSE($D$9,IF(AB$55=0,0,CHOOSE(AB$55,52.5,53)),IF(AB$55=0,0,CHOOSE(AB$55,44.2,44.2)),IF(AB$55=0,0,CHOOSE(AB$55,42,42)),IF(AB$55=0,0,CHOOSE(AB$55,35,35)))),IF($D$9=0,0,CHOOSE($D$9,IF(AB$55=0,0,CHOOSE(AB$55,44.2,44.2)),IF(AB$55=0,0,CHOOSE(AB$55,44.2,44.2)),IF(AB$55=0,0,CHOOSE(AB$55,25,29)))),IF($D$9=0,0,CHOOSE($D$9,IF(AB$55=0,0,CHOOSE(AB$55,42.2,44.2)),IF(AB$55=0,0,CHOOSE(AB$55,41.8,41.8)),IF(AB$55=0,0,CHOOSE(AB$55,39,39)),IF(AB$55=0,0,CHOOSE(AB$55,33,37)),IF(AB$55=0,0,CHOOSE(AB$55,25,30)),IF(AB$55=0,0,CHOOSE(AB$55,25,25)))),IF($D$9=0,0,CHOOSE($D$9,IF(AB$55=0,0,CHOOSE(AB$55,30,30)),IF(AB$55=0,0,CHOOSE(AB$55,33,33)),IF(AB$55=0,0,CHOOSE(AB$55,30,30)),IF(AB$55=0,0,CHOOSE(AB$55,19.5,19.5)),IF(AB$55=0,0,CHOOSE(AB$55,30,30)))))))+(IF($G$10=0,0,IF($G$10&lt;&gt;0,1,)))*(IF(SUM($J$8,$M$8)=0,0,($G$10*$AJ$10/3600)/(SUM($J$8,$M$8))))*(IF($C$10=0,0,CHOOSE($C$10,IF($D$10=0,0,CHOOSE($D$10,IF(AB$55=0,0,CHOOSE(AB$55,52.5,53)),IF(AB$55=0,0,CHOOSE(AB$55,44.2,44.2)),IF(AB$55=0,0,CHOOSE(AB$55,42,42)),IF(AB$55=0,0,CHOOSE(AB$55,35,35)))),IF($D$10=0,0,CHOOSE($D$10,IF(AB$55=0,0,CHOOSE(AB$55,44.2,44.2)),IF(AB$55=0,0,CHOOSE(AB$55,44.2,44.2)),IF(AB$55=0,0,CHOOSE(AB$55,25,29)))),IF($D$10=0,0,CHOOSE($D$10,IF(AB$55=0,0,CHOOSE(AB$55,42.2,44.2)),IF(AB$55=0,0,CHOOSE(AB$55,41.8,41.8)),IF(AB$55=0,0,CHOOSE(AB$55,39,39)),IF(AB$55=0,0,CHOOSE(AB$55,33,37)),IF(AB$55=0,0,CHOOSE(AB$55,25,30)),IF(AB$55=0,0,CHOOSE(AB$55,25,25)))),IF($D$10=0,0,CHOOSE($D$10,IF(AB$55=0,0,CHOOSE(AB$55,30,30)),IF(AB$55=0,0,CHOOSE(AB$55,33,33)),IF(AB$55=0,0,CHOOSE(AB$55,30,30)),IF(AB$55=0,0,CHOOSE(AB$55,19.5,19.5)),IF(AB$55=0,0,CHOOSE(AB$55,30,30)))))))+(IF($G$11=0,0,IF($G$11&lt;&gt;0,1,)))*(IF(SUM($J$8,$M$8)=0,0,($G$11*$AJ$11/3600)/(SUM($J$8,$M$8))))*(IF($C$11=0,0,CHOOSE($C$11,IF($D$11=0,0,CHOOSE($D$11,IF(AB$55=0,0,CHOOSE(AB$55,52.5,53)),IF(AB$55=0,0,CHOOSE(AB$55,44.2,44.2)),IF(AB$55=0,0,CHOOSE(AB$55,42,42)),IF(AB$55=0,0,CHOOSE(AB$55,35,35)))),IF($D$11=0,0,CHOOSE($D$11,IF(AB$55=0,0,CHOOSE(AB$55,44.2,44.2)),IF(AB$55=0,0,CHOOSE(AB$55,44.2,44.2)),IF(AB$55=0,0,CHOOSE(AB$55,25,29)))),IF($D$11=0,0,CHOOSE($D$11,IF(AB$55=0,0,CHOOSE(AB$55,42.2,44.2)),IF(AB$55=0,0,CHOOSE(AB$55,41.8,41.8)),IF(AB$55=0,0,CHOOSE(AB$55,39,39)),IF(AB$55=0,0,CHOOSE(AB$55,33,37)),IF(AB$55=0,0,CHOOSE(AB$55,25,30)),IF(AB$55=0,0,CHOOSE(AB$55,25,25)))),IF($D$11=0,0,CHOOSE($D$11,IF(AB$55=0,0,CHOOSE(AB$55,30,30)),IF(AB$55=0,0,CHOOSE(AB$55,33,33)),IF(AB$55=0,0,CHOOSE(AB$55,30,30)),IF(AB$55=0,0,CHOOSE(AB$55,19.5,19.5)),IF(AB$55=0,0,CHOOSE(AB$55,30,30)))))))+(IF($G$12=0,0,IF($G$12&lt;&gt;0,1,)))*(IF(SUM($J$8,$M$8)=0,0,($G$12*$AJ$12/3600)/(SUM($J$8,$M$8))))*(IF($C$12=0,0,CHOOSE($C$12,IF($D$12=0,0,CHOOSE($D$12,IF(AB$55=0,0,CHOOSE(AB$55,52.5,53)),IF(AB$55=0,0,CHOOSE(AB$55,44.2,44.2)),IF(AB$55=0,0,CHOOSE(AB$55,42,42)),IF(AB$55=0,0,CHOOSE(AB$55,35,35)))),IF($D$12=0,0,CHOOSE($D$12,IF(AB$55=0,0,CHOOSE(AB$55,44.2,44.2)),IF(AB$55=0,0,CHOOSE(AB$55,44.2,44.2)),IF(AB$55=0,0,CHOOSE(AB$55,25,29)))),IF($D$12=0,0,CHOOSE($D$12,IF(AB$55=0,0,CHOOSE(AB$55,42.2,44.2)),IF(AB$55=0,0,CHOOSE(AB$55,41.8,41.8)),IF(AB$55=0,0,CHOOSE(AB$55,39,39)),IF(AB$55=0,0,CHOOSE(AB$55,33,37)),IF(AB$55=0,0,CHOOSE(AB$55,25,30)),IF(AB$55=0,0,CHOOSE(AB$55,25,25)))),IF($D$12=0,0,CHOOSE($D$12,IF(AB$55=0,0,CHOOSE(AB$55,30,30)),IF(AB$55=0,0,CHOOSE(AB$55,33,33)),IF(AB$55=0,0,CHOOSE(AB$55,30,30)),IF(AB$55=0,0,CHOOSE(AB$55,19.5,19.5)),IF(AB$55=0,0,CHOOSE(AB$55,30,30))))))))/100+IF($AO$2=0,0,$AO$3))*($M$108*$M$113+$W$111*$W$113),$AN$101))</f>
        <v>0</v>
      </c>
      <c r="W101" s="135"/>
      <c r="X101" s="135"/>
      <c r="Y101" s="135">
        <f t="shared" ref="Y101" si="121">IF(AE58=0,0,IF($V$7=0,(IF(Y$78=0,0,IF(Y$78&lt;&gt;0,1,)))*(((IF($G$9=0,0,IF($G$9&lt;&gt;0,1,)))*(IF(SUM($J$8,$M$8)=0,0,($G$9*$AJ$9/3600)/(SUM($J$8,$M$8))))*(IF($C$9=0,0,CHOOSE($C$9,IF($D$9=0,0,CHOOSE($D$9,IF(AE$55=0,0,CHOOSE(AE$55,52.5,53)),IF(AE$55=0,0,CHOOSE(AE$55,44.2,44.2)),IF(AE$55=0,0,CHOOSE(AE$55,42,42)),IF(AE$55=0,0,CHOOSE(AE$55,35,35)))),IF($D$9=0,0,CHOOSE($D$9,IF(AE$55=0,0,CHOOSE(AE$55,44.2,44.2)),IF(AE$55=0,0,CHOOSE(AE$55,44.2,44.2)),IF(AE$55=0,0,CHOOSE(AE$55,25,29)))),IF($D$9=0,0,CHOOSE($D$9,IF(AE$55=0,0,CHOOSE(AE$55,42.2,44.2)),IF(AE$55=0,0,CHOOSE(AE$55,41.8,41.8)),IF(AE$55=0,0,CHOOSE(AE$55,39,39)),IF(AE$55=0,0,CHOOSE(AE$55,33,37)),IF(AE$55=0,0,CHOOSE(AE$55,25,30)),IF(AE$55=0,0,CHOOSE(AE$55,25,25)))),IF($D$9=0,0,CHOOSE($D$9,IF(AE$55=0,0,CHOOSE(AE$55,30,30)),IF(AE$55=0,0,CHOOSE(AE$55,33,33)),IF(AE$55=0,0,CHOOSE(AE$55,30,30)),IF(AE$55=0,0,CHOOSE(AE$55,19.5,19.5)),IF(AE$55=0,0,CHOOSE(AE$55,30,30)))))))+(IF($G$10=0,0,IF($G$10&lt;&gt;0,1,)))*(IF(SUM($J$8,$M$8)=0,0,($G$10*$AJ$10/3600)/(SUM($J$8,$M$8))))*(IF($C$10=0,0,CHOOSE($C$10,IF($D$10=0,0,CHOOSE($D$10,IF(AE$55=0,0,CHOOSE(AE$55,52.5,53)),IF(AE$55=0,0,CHOOSE(AE$55,44.2,44.2)),IF(AE$55=0,0,CHOOSE(AE$55,42,42)),IF(AE$55=0,0,CHOOSE(AE$55,35,35)))),IF($D$10=0,0,CHOOSE($D$10,IF(AE$55=0,0,CHOOSE(AE$55,44.2,44.2)),IF(AE$55=0,0,CHOOSE(AE$55,44.2,44.2)),IF(AE$55=0,0,CHOOSE(AE$55,25,29)))),IF($D$10=0,0,CHOOSE($D$10,IF(AE$55=0,0,CHOOSE(AE$55,42.2,44.2)),IF(AE$55=0,0,CHOOSE(AE$55,41.8,41.8)),IF(AE$55=0,0,CHOOSE(AE$55,39,39)),IF(AE$55=0,0,CHOOSE(AE$55,33,37)),IF(AE$55=0,0,CHOOSE(AE$55,25,30)),IF(AE$55=0,0,CHOOSE(AE$55,25,25)))),IF($D$10=0,0,CHOOSE($D$10,IF(AE$55=0,0,CHOOSE(AE$55,30,30)),IF(AE$55=0,0,CHOOSE(AE$55,33,33)),IF(AE$55=0,0,CHOOSE(AE$55,30,30)),IF(AE$55=0,0,CHOOSE(AE$55,19.5,19.5)),IF(AE$55=0,0,CHOOSE(AE$55,30,30)))))))+(IF($G$11=0,0,IF($G$11&lt;&gt;0,1,)))*(IF(SUM($J$8,$M$8)=0,0,($G$11*$AJ$11/3600)/(SUM($J$8,$M$8))))*(IF($C$11=0,0,CHOOSE($C$11,IF($D$11=0,0,CHOOSE($D$11,IF(AE$55=0,0,CHOOSE(AE$55,52.5,53)),IF(AE$55=0,0,CHOOSE(AE$55,44.2,44.2)),IF(AE$55=0,0,CHOOSE(AE$55,42,42)),IF(AE$55=0,0,CHOOSE(AE$55,35,35)))),IF($D$11=0,0,CHOOSE($D$11,IF(AE$55=0,0,CHOOSE(AE$55,44.2,44.2)),IF(AE$55=0,0,CHOOSE(AE$55,44.2,44.2)),IF(AE$55=0,0,CHOOSE(AE$55,25,29)))),IF($D$11=0,0,CHOOSE($D$11,IF(AE$55=0,0,CHOOSE(AE$55,42.2,44.2)),IF(AE$55=0,0,CHOOSE(AE$55,41.8,41.8)),IF(AE$55=0,0,CHOOSE(AE$55,39,39)),IF(AE$55=0,0,CHOOSE(AE$55,33,37)),IF(AE$55=0,0,CHOOSE(AE$55,25,30)),IF(AE$55=0,0,CHOOSE(AE$55,25,25)))),IF($D$11=0,0,CHOOSE($D$11,IF(AE$55=0,0,CHOOSE(AE$55,30,30)),IF(AE$55=0,0,CHOOSE(AE$55,33,33)),IF(AE$55=0,0,CHOOSE(AE$55,30,30)),IF(AE$55=0,0,CHOOSE(AE$55,19.5,19.5)),IF(AE$55=0,0,CHOOSE(AE$55,30,30)))))))+(IF($G$12=0,0,IF($G$12&lt;&gt;0,1,)))*(IF(SUM($J$8,$M$8)=0,0,($G$12*$AJ$12/3600)/(SUM($J$8,$M$8))))*(IF($C$12=0,0,CHOOSE($C$12,IF($D$12=0,0,CHOOSE($D$12,IF(AE$55=0,0,CHOOSE(AE$55,52.5,53)),IF(AE$55=0,0,CHOOSE(AE$55,44.2,44.2)),IF(AE$55=0,0,CHOOSE(AE$55,42,42)),IF(AE$55=0,0,CHOOSE(AE$55,35,35)))),IF($D$12=0,0,CHOOSE($D$12,IF(AE$55=0,0,CHOOSE(AE$55,44.2,44.2)),IF(AE$55=0,0,CHOOSE(AE$55,44.2,44.2)),IF(AE$55=0,0,CHOOSE(AE$55,25,29)))),IF($D$12=0,0,CHOOSE($D$12,IF(AE$55=0,0,CHOOSE(AE$55,42.2,44.2)),IF(AE$55=0,0,CHOOSE(AE$55,41.8,41.8)),IF(AE$55=0,0,CHOOSE(AE$55,39,39)),IF(AE$55=0,0,CHOOSE(AE$55,33,37)),IF(AE$55=0,0,CHOOSE(AE$55,25,30)),IF(AE$55=0,0,CHOOSE(AE$55,25,25)))),IF($D$12=0,0,CHOOSE($D$12,IF(AE$55=0,0,CHOOSE(AE$55,30,30)),IF(AE$55=0,0,CHOOSE(AE$55,33,33)),IF(AE$55=0,0,CHOOSE(AE$55,30,30)),IF(AE$55=0,0,CHOOSE(AE$55,19.5,19.5)),IF(AE$55=0,0,CHOOSE(AE$55,30,30))))))))/100+IF($AO$2=0,0,$AO$3))*($M$108*$M$113+$W$111*$W$113),$AN$101))</f>
        <v>0</v>
      </c>
      <c r="Z101" s="135"/>
      <c r="AA101" s="135"/>
      <c r="AB101" s="135">
        <f t="shared" ref="AB101" si="122">IF(AH58=0,0,IF($V$7=0,(IF(AB$78=0,0,IF(AB$78&lt;&gt;0,1,)))*(((IF($G$9=0,0,IF($G$9&lt;&gt;0,1,)))*(IF(SUM($J$8,$M$8)=0,0,($G$9*$AJ$9/3600)/(SUM($J$8,$M$8))))*(IF($C$9=0,0,CHOOSE($C$9,IF($D$9=0,0,CHOOSE($D$9,IF(AH$55=0,0,CHOOSE(AH$55,52.5,53)),IF(AH$55=0,0,CHOOSE(AH$55,44.2,44.2)),IF(AH$55=0,0,CHOOSE(AH$55,42,42)),IF(AH$55=0,0,CHOOSE(AH$55,35,35)))),IF($D$9=0,0,CHOOSE($D$9,IF(AH$55=0,0,CHOOSE(AH$55,44.2,44.2)),IF(AH$55=0,0,CHOOSE(AH$55,44.2,44.2)),IF(AH$55=0,0,CHOOSE(AH$55,25,29)))),IF($D$9=0,0,CHOOSE($D$9,IF(AH$55=0,0,CHOOSE(AH$55,42.2,44.2)),IF(AH$55=0,0,CHOOSE(AH$55,41.8,41.8)),IF(AH$55=0,0,CHOOSE(AH$55,39,39)),IF(AH$55=0,0,CHOOSE(AH$55,33,37)),IF(AH$55=0,0,CHOOSE(AH$55,25,30)),IF(AH$55=0,0,CHOOSE(AH$55,25,25)))),IF($D$9=0,0,CHOOSE($D$9,IF(AH$55=0,0,CHOOSE(AH$55,30,30)),IF(AH$55=0,0,CHOOSE(AH$55,33,33)),IF(AH$55=0,0,CHOOSE(AH$55,30,30)),IF(AH$55=0,0,CHOOSE(AH$55,19.5,19.5)),IF(AH$55=0,0,CHOOSE(AH$55,30,30)))))))+(IF($G$10=0,0,IF($G$10&lt;&gt;0,1,)))*(IF(SUM($J$8,$M$8)=0,0,($G$10*$AJ$10/3600)/(SUM($J$8,$M$8))))*(IF($C$10=0,0,CHOOSE($C$10,IF($D$10=0,0,CHOOSE($D$10,IF(AH$55=0,0,CHOOSE(AH$55,52.5,53)),IF(AH$55=0,0,CHOOSE(AH$55,44.2,44.2)),IF(AH$55=0,0,CHOOSE(AH$55,42,42)),IF(AH$55=0,0,CHOOSE(AH$55,35,35)))),IF($D$10=0,0,CHOOSE($D$10,IF(AH$55=0,0,CHOOSE(AH$55,44.2,44.2)),IF(AH$55=0,0,CHOOSE(AH$55,44.2,44.2)),IF(AH$55=0,0,CHOOSE(AH$55,25,29)))),IF($D$10=0,0,CHOOSE($D$10,IF(AH$55=0,0,CHOOSE(AH$55,42.2,44.2)),IF(AH$55=0,0,CHOOSE(AH$55,41.8,41.8)),IF(AH$55=0,0,CHOOSE(AH$55,39,39)),IF(AH$55=0,0,CHOOSE(AH$55,33,37)),IF(AH$55=0,0,CHOOSE(AH$55,25,30)),IF(AH$55=0,0,CHOOSE(AH$55,25,25)))),IF($D$10=0,0,CHOOSE($D$10,IF(AH$55=0,0,CHOOSE(AH$55,30,30)),IF(AH$55=0,0,CHOOSE(AH$55,33,33)),IF(AH$55=0,0,CHOOSE(AH$55,30,30)),IF(AH$55=0,0,CHOOSE(AH$55,19.5,19.5)),IF(AH$55=0,0,CHOOSE(AH$55,30,30)))))))+(IF($G$11=0,0,IF($G$11&lt;&gt;0,1,)))*(IF(SUM($J$8,$M$8)=0,0,($G$11*$AJ$11/3600)/(SUM($J$8,$M$8))))*(IF($C$11=0,0,CHOOSE($C$11,IF($D$11=0,0,CHOOSE($D$11,IF(AH$55=0,0,CHOOSE(AH$55,52.5,53)),IF(AH$55=0,0,CHOOSE(AH$55,44.2,44.2)),IF(AH$55=0,0,CHOOSE(AH$55,42,42)),IF(AH$55=0,0,CHOOSE(AH$55,35,35)))),IF($D$11=0,0,CHOOSE($D$11,IF(AH$55=0,0,CHOOSE(AH$55,44.2,44.2)),IF(AH$55=0,0,CHOOSE(AH$55,44.2,44.2)),IF(AH$55=0,0,CHOOSE(AH$55,25,29)))),IF($D$11=0,0,CHOOSE($D$11,IF(AH$55=0,0,CHOOSE(AH$55,42.2,44.2)),IF(AH$55=0,0,CHOOSE(AH$55,41.8,41.8)),IF(AH$55=0,0,CHOOSE(AH$55,39,39)),IF(AH$55=0,0,CHOOSE(AH$55,33,37)),IF(AH$55=0,0,CHOOSE(AH$55,25,30)),IF(AH$55=0,0,CHOOSE(AH$55,25,25)))),IF($D$11=0,0,CHOOSE($D$11,IF(AH$55=0,0,CHOOSE(AH$55,30,30)),IF(AH$55=0,0,CHOOSE(AH$55,33,33)),IF(AH$55=0,0,CHOOSE(AH$55,30,30)),IF(AH$55=0,0,CHOOSE(AH$55,19.5,19.5)),IF(AH$55=0,0,CHOOSE(AH$55,30,30)))))))+(IF($G$12=0,0,IF($G$12&lt;&gt;0,1,)))*(IF(SUM($J$8,$M$8)=0,0,($G$12*$AJ$12/3600)/(SUM($J$8,$M$8))))*(IF($C$12=0,0,CHOOSE($C$12,IF($D$12=0,0,CHOOSE($D$12,IF(AH$55=0,0,CHOOSE(AH$55,52.5,53)),IF(AH$55=0,0,CHOOSE(AH$55,44.2,44.2)),IF(AH$55=0,0,CHOOSE(AH$55,42,42)),IF(AH$55=0,0,CHOOSE(AH$55,35,35)))),IF($D$12=0,0,CHOOSE($D$12,IF(AH$55=0,0,CHOOSE(AH$55,44.2,44.2)),IF(AH$55=0,0,CHOOSE(AH$55,44.2,44.2)),IF(AH$55=0,0,CHOOSE(AH$55,25,29)))),IF($D$12=0,0,CHOOSE($D$12,IF(AH$55=0,0,CHOOSE(AH$55,42.2,44.2)),IF(AH$55=0,0,CHOOSE(AH$55,41.8,41.8)),IF(AH$55=0,0,CHOOSE(AH$55,39,39)),IF(AH$55=0,0,CHOOSE(AH$55,33,37)),IF(AH$55=0,0,CHOOSE(AH$55,25,30)),IF(AH$55=0,0,CHOOSE(AH$55,25,25)))),IF($D$12=0,0,CHOOSE($D$12,IF(AH$55=0,0,CHOOSE(AH$55,30,30)),IF(AH$55=0,0,CHOOSE(AH$55,33,33)),IF(AH$55=0,0,CHOOSE(AH$55,30,30)),IF(AH$55=0,0,CHOOSE(AH$55,19.5,19.5)),IF(AH$55=0,0,CHOOSE(AH$55,30,30))))))))/100+IF($AO$2=0,0,$AO$3))*($M$108*$M$113+$W$111*$W$113),$AN$101))</f>
        <v>0</v>
      </c>
      <c r="AC101" s="135"/>
      <c r="AD101" s="135"/>
      <c r="AE101" s="135">
        <f t="shared" ref="AE101" si="123">IF(AK58=0,0,IF($V$7=0,(IF(AE$78=0,0,IF(AE$78&lt;&gt;0,1,)))*(((IF($G$9=0,0,IF($G$9&lt;&gt;0,1,)))*(IF(SUM($J$8,$M$8)=0,0,($G$9*$AJ$9/3600)/(SUM($J$8,$M$8))))*(IF($C$9=0,0,CHOOSE($C$9,IF($D$9=0,0,CHOOSE($D$9,IF(AK$55=0,0,CHOOSE(AK$55,52.5,53)),IF(AK$55=0,0,CHOOSE(AK$55,44.2,44.2)),IF(AK$55=0,0,CHOOSE(AK$55,42,42)),IF(AK$55=0,0,CHOOSE(AK$55,35,35)))),IF($D$9=0,0,CHOOSE($D$9,IF(AK$55=0,0,CHOOSE(AK$55,44.2,44.2)),IF(AK$55=0,0,CHOOSE(AK$55,44.2,44.2)),IF(AK$55=0,0,CHOOSE(AK$55,25,29)))),IF($D$9=0,0,CHOOSE($D$9,IF(AK$55=0,0,CHOOSE(AK$55,42.2,44.2)),IF(AK$55=0,0,CHOOSE(AK$55,41.8,41.8)),IF(AK$55=0,0,CHOOSE(AK$55,39,39)),IF(AK$55=0,0,CHOOSE(AK$55,33,37)),IF(AK$55=0,0,CHOOSE(AK$55,25,30)),IF(AK$55=0,0,CHOOSE(AK$55,25,25)))),IF($D$9=0,0,CHOOSE($D$9,IF(AK$55=0,0,CHOOSE(AK$55,30,30)),IF(AK$55=0,0,CHOOSE(AK$55,33,33)),IF(AK$55=0,0,CHOOSE(AK$55,30,30)),IF(AK$55=0,0,CHOOSE(AK$55,19.5,19.5)),IF(AK$55=0,0,CHOOSE(AK$55,30,30)))))))+(IF($G$10=0,0,IF($G$10&lt;&gt;0,1,)))*(IF(SUM($J$8,$M$8)=0,0,($G$10*$AJ$10/3600)/(SUM($J$8,$M$8))))*(IF($C$10=0,0,CHOOSE($C$10,IF($D$10=0,0,CHOOSE($D$10,IF(AK$55=0,0,CHOOSE(AK$55,52.5,53)),IF(AK$55=0,0,CHOOSE(AK$55,44.2,44.2)),IF(AK$55=0,0,CHOOSE(AK$55,42,42)),IF(AK$55=0,0,CHOOSE(AK$55,35,35)))),IF($D$10=0,0,CHOOSE($D$10,IF(AK$55=0,0,CHOOSE(AK$55,44.2,44.2)),IF(AK$55=0,0,CHOOSE(AK$55,44.2,44.2)),IF(AK$55=0,0,CHOOSE(AK$55,25,29)))),IF($D$10=0,0,CHOOSE($D$10,IF(AK$55=0,0,CHOOSE(AK$55,42.2,44.2)),IF(AK$55=0,0,CHOOSE(AK$55,41.8,41.8)),IF(AK$55=0,0,CHOOSE(AK$55,39,39)),IF(AK$55=0,0,CHOOSE(AK$55,33,37)),IF(AK$55=0,0,CHOOSE(AK$55,25,30)),IF(AK$55=0,0,CHOOSE(AK$55,25,25)))),IF($D$10=0,0,CHOOSE($D$10,IF(AK$55=0,0,CHOOSE(AK$55,30,30)),IF(AK$55=0,0,CHOOSE(AK$55,33,33)),IF(AK$55=0,0,CHOOSE(AK$55,30,30)),IF(AK$55=0,0,CHOOSE(AK$55,19.5,19.5)),IF(AK$55=0,0,CHOOSE(AK$55,30,30)))))))+(IF($G$11=0,0,IF($G$11&lt;&gt;0,1,)))*(IF(SUM($J$8,$M$8)=0,0,($G$11*$AJ$11/3600)/(SUM($J$8,$M$8))))*(IF($C$11=0,0,CHOOSE($C$11,IF($D$11=0,0,CHOOSE($D$11,IF(AK$55=0,0,CHOOSE(AK$55,52.5,53)),IF(AK$55=0,0,CHOOSE(AK$55,44.2,44.2)),IF(AK$55=0,0,CHOOSE(AK$55,42,42)),IF(AK$55=0,0,CHOOSE(AK$55,35,35)))),IF($D$11=0,0,CHOOSE($D$11,IF(AK$55=0,0,CHOOSE(AK$55,44.2,44.2)),IF(AK$55=0,0,CHOOSE(AK$55,44.2,44.2)),IF(AK$55=0,0,CHOOSE(AK$55,25,29)))),IF($D$11=0,0,CHOOSE($D$11,IF(AK$55=0,0,CHOOSE(AK$55,42.2,44.2)),IF(AK$55=0,0,CHOOSE(AK$55,41.8,41.8)),IF(AK$55=0,0,CHOOSE(AK$55,39,39)),IF(AK$55=0,0,CHOOSE(AK$55,33,37)),IF(AK$55=0,0,CHOOSE(AK$55,25,30)),IF(AK$55=0,0,CHOOSE(AK$55,25,25)))),IF($D$11=0,0,CHOOSE($D$11,IF(AK$55=0,0,CHOOSE(AK$55,30,30)),IF(AK$55=0,0,CHOOSE(AK$55,33,33)),IF(AK$55=0,0,CHOOSE(AK$55,30,30)),IF(AK$55=0,0,CHOOSE(AK$55,19.5,19.5)),IF(AK$55=0,0,CHOOSE(AK$55,30,30)))))))+(IF($G$12=0,0,IF($G$12&lt;&gt;0,1,)))*(IF(SUM($J$8,$M$8)=0,0,($G$12*$AJ$12/3600)/(SUM($J$8,$M$8))))*(IF($C$12=0,0,CHOOSE($C$12,IF($D$12=0,0,CHOOSE($D$12,IF(AK$55=0,0,CHOOSE(AK$55,52.5,53)),IF(AK$55=0,0,CHOOSE(AK$55,44.2,44.2)),IF(AK$55=0,0,CHOOSE(AK$55,42,42)),IF(AK$55=0,0,CHOOSE(AK$55,35,35)))),IF($D$12=0,0,CHOOSE($D$12,IF(AK$55=0,0,CHOOSE(AK$55,44.2,44.2)),IF(AK$55=0,0,CHOOSE(AK$55,44.2,44.2)),IF(AK$55=0,0,CHOOSE(AK$55,25,29)))),IF($D$12=0,0,CHOOSE($D$12,IF(AK$55=0,0,CHOOSE(AK$55,42.2,44.2)),IF(AK$55=0,0,CHOOSE(AK$55,41.8,41.8)),IF(AK$55=0,0,CHOOSE(AK$55,39,39)),IF(AK$55=0,0,CHOOSE(AK$55,33,37)),IF(AK$55=0,0,CHOOSE(AK$55,25,30)),IF(AK$55=0,0,CHOOSE(AK$55,25,25)))),IF($D$12=0,0,CHOOSE($D$12,IF(AK$55=0,0,CHOOSE(AK$55,30,30)),IF(AK$55=0,0,CHOOSE(AK$55,33,33)),IF(AK$55=0,0,CHOOSE(AK$55,30,30)),IF(AK$55=0,0,CHOOSE(AK$55,19.5,19.5)),IF(AK$55=0,0,CHOOSE(AK$55,30,30))))))))/100+IF($AO$2=0,0,$AO$3))*($M$108*$M$113+$W$111*$W$113),$AN$101))</f>
        <v>0</v>
      </c>
      <c r="AF101" s="135"/>
      <c r="AG101" s="135"/>
      <c r="AH101" s="135">
        <f t="shared" ref="AH101" si="124">IF(AN58=0,0,IF($V$7=0,(IF(AH$78=0,0,IF(AH$78&lt;&gt;0,1,)))*(((IF($G$9=0,0,IF($G$9&lt;&gt;0,1,)))*(IF(SUM($J$8,$M$8)=0,0,($G$9*$AJ$9/3600)/(SUM($J$8,$M$8))))*(IF($C$9=0,0,CHOOSE($C$9,IF($D$9=0,0,CHOOSE($D$9,IF(AN$55=0,0,CHOOSE(AN$55,52.5,53)),IF(AN$55=0,0,CHOOSE(AN$55,44.2,44.2)),IF(AN$55=0,0,CHOOSE(AN$55,42,42)),IF(AN$55=0,0,CHOOSE(AN$55,35,35)))),IF($D$9=0,0,CHOOSE($D$9,IF(AN$55=0,0,CHOOSE(AN$55,44.2,44.2)),IF(AN$55=0,0,CHOOSE(AN$55,44.2,44.2)),IF(AN$55=0,0,CHOOSE(AN$55,25,29)))),IF($D$9=0,0,CHOOSE($D$9,IF(AN$55=0,0,CHOOSE(AN$55,42.2,44.2)),IF(AN$55=0,0,CHOOSE(AN$55,41.8,41.8)),IF(AN$55=0,0,CHOOSE(AN$55,39,39)),IF(AN$55=0,0,CHOOSE(AN$55,33,37)),IF(AN$55=0,0,CHOOSE(AN$55,25,30)),IF(AN$55=0,0,CHOOSE(AN$55,25,25)))),IF($D$9=0,0,CHOOSE($D$9,IF(AN$55=0,0,CHOOSE(AN$55,30,30)),IF(AN$55=0,0,CHOOSE(AN$55,33,33)),IF(AN$55=0,0,CHOOSE(AN$55,30,30)),IF(AN$55=0,0,CHOOSE(AN$55,19.5,19.5)),IF(AN$55=0,0,CHOOSE(AN$55,30,30)))))))+(IF($G$10=0,0,IF($G$10&lt;&gt;0,1,)))*(IF(SUM($J$8,$M$8)=0,0,($G$10*$AJ$10/3600)/(SUM($J$8,$M$8))))*(IF($C$10=0,0,CHOOSE($C$10,IF($D$10=0,0,CHOOSE($D$10,IF(AN$55=0,0,CHOOSE(AN$55,52.5,53)),IF(AN$55=0,0,CHOOSE(AN$55,44.2,44.2)),IF(AN$55=0,0,CHOOSE(AN$55,42,42)),IF(AN$55=0,0,CHOOSE(AN$55,35,35)))),IF($D$10=0,0,CHOOSE($D$10,IF(AN$55=0,0,CHOOSE(AN$55,44.2,44.2)),IF(AN$55=0,0,CHOOSE(AN$55,44.2,44.2)),IF(AN$55=0,0,CHOOSE(AN$55,25,29)))),IF($D$10=0,0,CHOOSE($D$10,IF(AN$55=0,0,CHOOSE(AN$55,42.2,44.2)),IF(AN$55=0,0,CHOOSE(AN$55,41.8,41.8)),IF(AN$55=0,0,CHOOSE(AN$55,39,39)),IF(AN$55=0,0,CHOOSE(AN$55,33,37)),IF(AN$55=0,0,CHOOSE(AN$55,25,30)),IF(AN$55=0,0,CHOOSE(AN$55,25,25)))),IF($D$10=0,0,CHOOSE($D$10,IF(AN$55=0,0,CHOOSE(AN$55,30,30)),IF(AN$55=0,0,CHOOSE(AN$55,33,33)),IF(AN$55=0,0,CHOOSE(AN$55,30,30)),IF(AN$55=0,0,CHOOSE(AN$55,19.5,19.5)),IF(AN$55=0,0,CHOOSE(AN$55,30,30)))))))+(IF($G$11=0,0,IF($G$11&lt;&gt;0,1,)))*(IF(SUM($J$8,$M$8)=0,0,($G$11*$AJ$11/3600)/(SUM($J$8,$M$8))))*(IF($C$11=0,0,CHOOSE($C$11,IF($D$11=0,0,CHOOSE($D$11,IF(AN$55=0,0,CHOOSE(AN$55,52.5,53)),IF(AN$55=0,0,CHOOSE(AN$55,44.2,44.2)),IF(AN$55=0,0,CHOOSE(AN$55,42,42)),IF(AN$55=0,0,CHOOSE(AN$55,35,35)))),IF($D$11=0,0,CHOOSE($D$11,IF(AN$55=0,0,CHOOSE(AN$55,44.2,44.2)),IF(AN$55=0,0,CHOOSE(AN$55,44.2,44.2)),IF(AN$55=0,0,CHOOSE(AN$55,25,29)))),IF($D$11=0,0,CHOOSE($D$11,IF(AN$55=0,0,CHOOSE(AN$55,42.2,44.2)),IF(AN$55=0,0,CHOOSE(AN$55,41.8,41.8)),IF(AN$55=0,0,CHOOSE(AN$55,39,39)),IF(AN$55=0,0,CHOOSE(AN$55,33,37)),IF(AN$55=0,0,CHOOSE(AN$55,25,30)),IF(AN$55=0,0,CHOOSE(AN$55,25,25)))),IF($D$11=0,0,CHOOSE($D$11,IF(AN$55=0,0,CHOOSE(AN$55,30,30)),IF(AN$55=0,0,CHOOSE(AN$55,33,33)),IF(AN$55=0,0,CHOOSE(AN$55,30,30)),IF(AN$55=0,0,CHOOSE(AN$55,19.5,19.5)),IF(AN$55=0,0,CHOOSE(AN$55,30,30)))))))+(IF($G$12=0,0,IF($G$12&lt;&gt;0,1,)))*(IF(SUM($J$8,$M$8)=0,0,($G$12*$AJ$12/3600)/(SUM($J$8,$M$8))))*(IF($C$12=0,0,CHOOSE($C$12,IF($D$12=0,0,CHOOSE($D$12,IF(AN$55=0,0,CHOOSE(AN$55,52.5,53)),IF(AN$55=0,0,CHOOSE(AN$55,44.2,44.2)),IF(AN$55=0,0,CHOOSE(AN$55,42,42)),IF(AN$55=0,0,CHOOSE(AN$55,35,35)))),IF($D$12=0,0,CHOOSE($D$12,IF(AN$55=0,0,CHOOSE(AN$55,44.2,44.2)),IF(AN$55=0,0,CHOOSE(AN$55,44.2,44.2)),IF(AN$55=0,0,CHOOSE(AN$55,25,29)))),IF($D$12=0,0,CHOOSE($D$12,IF(AN$55=0,0,CHOOSE(AN$55,42.2,44.2)),IF(AN$55=0,0,CHOOSE(AN$55,41.8,41.8)),IF(AN$55=0,0,CHOOSE(AN$55,39,39)),IF(AN$55=0,0,CHOOSE(AN$55,33,37)),IF(AN$55=0,0,CHOOSE(AN$55,25,30)),IF(AN$55=0,0,CHOOSE(AN$55,25,25)))),IF($D$12=0,0,CHOOSE($D$12,IF(AN$55=0,0,CHOOSE(AN$55,30,30)),IF(AN$55=0,0,CHOOSE(AN$55,33,33)),IF(AN$55=0,0,CHOOSE(AN$55,30,30)),IF(AN$55=0,0,CHOOSE(AN$55,19.5,19.5)),IF(AN$55=0,0,CHOOSE(AN$55,30,30))))))))/100+IF($AO$2=0,0,$AO$3))*($M$108*$M$113+$W$111*$W$113),$AN$101))</f>
        <v>0</v>
      </c>
      <c r="AI101" s="135"/>
      <c r="AJ101" s="135"/>
      <c r="AK101" s="135">
        <f t="shared" ref="AK101" si="125">IF(AQ58=0,0,IF($V$7=0,(IF(AK$78=0,0,IF(AK$78&lt;&gt;0,1,)))*(((IF($G$9=0,0,IF($G$9&lt;&gt;0,1,)))*(IF(SUM($J$8,$M$8)=0,0,($G$9*$AJ$9/3600)/(SUM($J$8,$M$8))))*(IF($C$9=0,0,CHOOSE($C$9,IF($D$9=0,0,CHOOSE($D$9,IF(AQ$55=0,0,CHOOSE(AQ$55,52.5,53)),IF(AQ$55=0,0,CHOOSE(AQ$55,44.2,44.2)),IF(AQ$55=0,0,CHOOSE(AQ$55,42,42)),IF(AQ$55=0,0,CHOOSE(AQ$55,35,35)))),IF($D$9=0,0,CHOOSE($D$9,IF(AQ$55=0,0,CHOOSE(AQ$55,44.2,44.2)),IF(AQ$55=0,0,CHOOSE(AQ$55,44.2,44.2)),IF(AQ$55=0,0,CHOOSE(AQ$55,25,29)))),IF($D$9=0,0,CHOOSE($D$9,IF(AQ$55=0,0,CHOOSE(AQ$55,42.2,44.2)),IF(AQ$55=0,0,CHOOSE(AQ$55,41.8,41.8)),IF(AQ$55=0,0,CHOOSE(AQ$55,39,39)),IF(AQ$55=0,0,CHOOSE(AQ$55,33,37)),IF(AQ$55=0,0,CHOOSE(AQ$55,25,30)),IF(AQ$55=0,0,CHOOSE(AQ$55,25,25)))),IF($D$9=0,0,CHOOSE($D$9,IF(AQ$55=0,0,CHOOSE(AQ$55,30,30)),IF(AQ$55=0,0,CHOOSE(AQ$55,33,33)),IF(AQ$55=0,0,CHOOSE(AQ$55,30,30)),IF(AQ$55=0,0,CHOOSE(AQ$55,19.5,19.5)),IF(AQ$55=0,0,CHOOSE(AQ$55,30,30)))))))+(IF($G$10=0,0,IF($G$10&lt;&gt;0,1,)))*(IF(SUM($J$8,$M$8)=0,0,($G$10*$AJ$10/3600)/(SUM($J$8,$M$8))))*(IF($C$10=0,0,CHOOSE($C$10,IF($D$10=0,0,CHOOSE($D$10,IF(AQ$55=0,0,CHOOSE(AQ$55,52.5,53)),IF(AQ$55=0,0,CHOOSE(AQ$55,44.2,44.2)),IF(AQ$55=0,0,CHOOSE(AQ$55,42,42)),IF(AQ$55=0,0,CHOOSE(AQ$55,35,35)))),IF($D$10=0,0,CHOOSE($D$10,IF(AQ$55=0,0,CHOOSE(AQ$55,44.2,44.2)),IF(AQ$55=0,0,CHOOSE(AQ$55,44.2,44.2)),IF(AQ$55=0,0,CHOOSE(AQ$55,25,29)))),IF($D$10=0,0,CHOOSE($D$10,IF(AQ$55=0,0,CHOOSE(AQ$55,42.2,44.2)),IF(AQ$55=0,0,CHOOSE(AQ$55,41.8,41.8)),IF(AQ$55=0,0,CHOOSE(AQ$55,39,39)),IF(AQ$55=0,0,CHOOSE(AQ$55,33,37)),IF(AQ$55=0,0,CHOOSE(AQ$55,25,30)),IF(AQ$55=0,0,CHOOSE(AQ$55,25,25)))),IF($D$10=0,0,CHOOSE($D$10,IF(AQ$55=0,0,CHOOSE(AQ$55,30,30)),IF(AQ$55=0,0,CHOOSE(AQ$55,33,33)),IF(AQ$55=0,0,CHOOSE(AQ$55,30,30)),IF(AQ$55=0,0,CHOOSE(AQ$55,19.5,19.5)),IF(AQ$55=0,0,CHOOSE(AQ$55,30,30)))))))+(IF($G$11=0,0,IF($G$11&lt;&gt;0,1,)))*(IF(SUM($J$8,$M$8)=0,0,($G$11*$AJ$11/3600)/(SUM($J$8,$M$8))))*(IF($C$11=0,0,CHOOSE($C$11,IF($D$11=0,0,CHOOSE($D$11,IF(AQ$55=0,0,CHOOSE(AQ$55,52.5,53)),IF(AQ$55=0,0,CHOOSE(AQ$55,44.2,44.2)),IF(AQ$55=0,0,CHOOSE(AQ$55,42,42)),IF(AQ$55=0,0,CHOOSE(AQ$55,35,35)))),IF($D$11=0,0,CHOOSE($D$11,IF(AQ$55=0,0,CHOOSE(AQ$55,44.2,44.2)),IF(AQ$55=0,0,CHOOSE(AQ$55,44.2,44.2)),IF(AQ$55=0,0,CHOOSE(AQ$55,25,29)))),IF($D$11=0,0,CHOOSE($D$11,IF(AQ$55=0,0,CHOOSE(AQ$55,42.2,44.2)),IF(AQ$55=0,0,CHOOSE(AQ$55,41.8,41.8)),IF(AQ$55=0,0,CHOOSE(AQ$55,39,39)),IF(AQ$55=0,0,CHOOSE(AQ$55,33,37)),IF(AQ$55=0,0,CHOOSE(AQ$55,25,30)),IF(AQ$55=0,0,CHOOSE(AQ$55,25,25)))),IF($D$11=0,0,CHOOSE($D$11,IF(AQ$55=0,0,CHOOSE(AQ$55,30,30)),IF(AQ$55=0,0,CHOOSE(AQ$55,33,33)),IF(AQ$55=0,0,CHOOSE(AQ$55,30,30)),IF(AQ$55=0,0,CHOOSE(AQ$55,19.5,19.5)),IF(AQ$55=0,0,CHOOSE(AQ$55,30,30)))))))+(IF($G$12=0,0,IF($G$12&lt;&gt;0,1,)))*(IF(SUM($J$8,$M$8)=0,0,($G$12*$AJ$12/3600)/(SUM($J$8,$M$8))))*(IF($C$12=0,0,CHOOSE($C$12,IF($D$12=0,0,CHOOSE($D$12,IF(AQ$55=0,0,CHOOSE(AQ$55,52.5,53)),IF(AQ$55=0,0,CHOOSE(AQ$55,44.2,44.2)),IF(AQ$55=0,0,CHOOSE(AQ$55,42,42)),IF(AQ$55=0,0,CHOOSE(AQ$55,35,35)))),IF($D$12=0,0,CHOOSE($D$12,IF(AQ$55=0,0,CHOOSE(AQ$55,44.2,44.2)),IF(AQ$55=0,0,CHOOSE(AQ$55,44.2,44.2)),IF(AQ$55=0,0,CHOOSE(AQ$55,25,29)))),IF($D$12=0,0,CHOOSE($D$12,IF(AQ$55=0,0,CHOOSE(AQ$55,42.2,44.2)),IF(AQ$55=0,0,CHOOSE(AQ$55,41.8,41.8)),IF(AQ$55=0,0,CHOOSE(AQ$55,39,39)),IF(AQ$55=0,0,CHOOSE(AQ$55,33,37)),IF(AQ$55=0,0,CHOOSE(AQ$55,25,30)),IF(AQ$55=0,0,CHOOSE(AQ$55,25,25)))),IF($D$12=0,0,CHOOSE($D$12,IF(AQ$55=0,0,CHOOSE(AQ$55,30,30)),IF(AQ$55=0,0,CHOOSE(AQ$55,33,33)),IF(AQ$55=0,0,CHOOSE(AQ$55,30,30)),IF(AQ$55=0,0,CHOOSE(AQ$55,19.5,19.5)),IF(AQ$55=0,0,CHOOSE(AQ$55,30,30))))))))/100+IF($AO$2=0,0,$AO$3))*($M$108*$M$113+$W$111*$W$113),$AN$101))</f>
        <v>0</v>
      </c>
      <c r="AL101" s="135"/>
      <c r="AM101" s="135"/>
      <c r="AN101" s="381">
        <f>IF(O48=0,0,ROUND((IF(AN$78=0,0,IF(AN$78&lt;&gt;0,1,)))*((IF($G$13=0,0,IF($G$13&lt;&gt;0,1,)))*(IF($C$13=0,0,CHOOSE($C$13,IF($D$13=0,0,CHOOSE($D$13,IF(O$52=0,0,CHOOSE(O$52,52.5,53)),IF(O$52=0,0,CHOOSE(O$52,44.2,44.2)),IF(O$52=0,0,CHOOSE(O$52,42,42)),IF(O$52=0,0,CHOOSE(O$52,35,35)))),IF($D$13=0,0,CHOOSE($D$13,IF(O$52=0,0,CHOOSE(O$52,44.2,44.2)),IF(O$52=0,0,CHOOSE(O$52,44.2,44.2)),IF(O$52=0,0,CHOOSE(O$52,25,29)))))))/100+IF($AO$2=0,0,$AO$3))*($M$108*$M$113+$W$111*$W$113),4))</f>
        <v>0</v>
      </c>
      <c r="AO101" s="381"/>
      <c r="AP101" s="381"/>
      <c r="AQ101" s="381">
        <f>IF(R48=0,0,ROUND((IF(AQ$78=0,0,IF(AQ$78&lt;&gt;0,1,)))*((IF($G$13=0,0,IF($G$13&lt;&gt;0,1,)))*(IF($C$13=0,0,CHOOSE($C$13,IF($D$13=0,0,CHOOSE($D$13,IF(R$52=0,0,CHOOSE(R$52,52.5,53)),IF(R$52=0,0,CHOOSE(R$52,44.2,44.2)),IF(R$52=0,0,CHOOSE(R$52,42,42)),IF(R$52=0,0,CHOOSE(R$52,35,35)))),IF($D$13=0,0,CHOOSE($D$13,IF(R$52=0,0,CHOOSE(R$52,44.2,44.2)),IF(R$52=0,0,CHOOSE(R$52,44.2,44.2)),IF(R$52=0,0,CHOOSE(R$52,25,29)))))))/100+IF($AO$2=0,0,$AO$3))*($M$108*$M$113+$W$111*$W$113),4))</f>
        <v>0</v>
      </c>
      <c r="AR101" s="381"/>
      <c r="AS101" s="381"/>
    </row>
    <row r="102" spans="1:45" s="14" customFormat="1" ht="15.75" customHeight="1">
      <c r="A102" s="64">
        <v>24</v>
      </c>
      <c r="B102" s="140" t="s">
        <v>320</v>
      </c>
      <c r="C102" s="141"/>
      <c r="D102" s="141"/>
      <c r="E102" s="167">
        <f>IF($AS$1=0,0,CHOOSE($AS$1,"ТГ","КПГЦ"))</f>
        <v>0</v>
      </c>
      <c r="F102" s="167"/>
      <c r="G102" s="168"/>
      <c r="H102" s="134" t="s">
        <v>24</v>
      </c>
      <c r="I102" s="134"/>
      <c r="J102" s="135">
        <f>IF($AS$1=0,0,IF($AS$1=1,0,IF($AS$1=2,ROUND(IF(J83=0,0,SUMPRODUCT(M83:AS83,M102:AS102)/J83),4),)))</f>
        <v>0</v>
      </c>
      <c r="K102" s="135"/>
      <c r="L102" s="135"/>
      <c r="M102" s="135">
        <f>IF(S58=0,0,IF($V$7=0,((IF(M$81=0,0,IF(M$81&lt;&gt;0,1,)))*(((IF($G$9=0,0,IF($G$9&lt;&gt;0,1,)))*(IF(SUM($J$8,$M$8)=0,0,($G$9*$AJ$9/3600)/(SUM($J$8,$M$8))))*(IF($C$9=0,0,CHOOSE($C$9,IF($D$9=0,0,CHOOSE($D$9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$9=0,0,CHOOSE($D$9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$9=0,0,CHOOSE($D$9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$9=0,0,CHOOSE($D$9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$10=0,0,IF($G$10&lt;&gt;0,1,)))*(IF(SUM($J$8,$M$8)=0,0,($G$10*$AJ$10/3600)/(SUM($J$8,$M$8))))*(IF($C$10=0,0,CHOOSE($C$10,IF($D$10=0,0,CHOOSE($D$10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$10=0,0,CHOOSE($D$10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$10=0,0,CHOOSE($D$10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$10=0,0,CHOOSE($D$10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$11=0,0,IF($G$11&lt;&gt;0,1,)))*(IF(SUM($J$8,$M$8)=0,0,($G$11*$AJ$11/3600)/(SUM($J$8,$M$8))))*(IF($C$11=0,0,CHOOSE($C$11,IF($D$11=0,0,CHOOSE($D$11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$11=0,0,CHOOSE($D$11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$11=0,0,CHOOSE($D$11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$11=0,0,CHOOSE($D$11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+(IF($G$12=0,0,IF($G$12&lt;&gt;0,1,)))*(IF(SUM($J$8,$M$8)=0,0,($G$12*$AJ$12/3600)/(SUM($J$8,$M$8))))*(IF($C$12=0,0,CHOOSE($C$12,IF($D$12=0,0,CHOOSE($D$12,IF(S$55=0,0,CHOOSE(S$55,90,92)*M$80/M$81+(CHOOSE(S$55,85,87)+IF($AO$135=0,0,5))*M$79/M$81),IF(S$55=0,0,CHOOSE(S$55,89,90)*M$80/M$81+(CHOOSE(S$55,84,85)+IF($AO$135=0,0,5))*M$79/M$81),IF(S$55=0,0,CHOOSE(S$55,70,80)*M$80/M$81+(CHOOSE(S$55,65,85)+IF($AO$135=0,0,5))*M$79/M$81),IF(S$55=0,0,CHOOSE(S$55,80,80)*M$80/M$81+(CHOOSE(S$55,75,75)+IF($AO$135=0,0,5))*M$79/M$81))),IF($D$11=0,0,CHOOSE($D$12,IF(S$55=0,0,CHOOSE(S$55,89,85)*M$80/M$81+(CHOOSE(S$55,84,80)+IF($AO$135=0,0,5))*M$79/M$81),IF(S$55=0,0,CHOOSE(S$55,89,85)*M$80/M$81+(CHOOSE(S$55,84,80)+IF($AO$135=0,0,5))*M$79/M$81),IF(S$55=0,0,CHOOSE(S$55,80,75)*M$80/M$81+(CHOOSE(S$55,75,70)+IF($AO$135=0,0,5))*M$79/M$81))),IF($D$12=0,0,CHOOSE($D$12,IF(S$55=0,0,CHOOSE(S$55,88,88)*M$80/M$81+(CHOOSE(S$55,83,83)+IF($AO$135=0,0,5))*M$79/M$81),IF(S$55=0,0,CHOOSE(S$55,86,86)*M$80/M$81+(CHOOSE(S$55,81,81)+IF($AO$135=0,0,5))*M$79/M$81),IF(S$55=0,0,CHOOSE(S$55,86,86)*M$80/M$81+(CHOOSE(S$55,81,81)+IF($AO$135=0,0,5))*M$79/M$81),IF(S$55=0,0,CHOOSE(S$55,86,86)*M$80/M$81+(CHOOSE(S$55,81,81)+IF($AO$135=0,0,5))*M$79/M$81),IF(S$55=0,0,CHOOSE(S$55,80,80)*M$80/M$81+(CHOOSE(S$55,75,75)+IF($AO$135=0,0,5))*M$79/M$81),IF(S$55=0,0,CHOOSE(S$55,80,80)*M$80/M$81+(CHOOSE(S$55,75,75)+IF($AO$135=0,0,5))*M$79/M$81))),IF($D$12=0,0,CHOOSE($D$12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,IF(S$55=0,0,CHOOSE(S$55,92,92)*M$80/M$81+(CHOOSE(S$55,87,87)+IF($AO$135=0,0,5))*M$79/M$81))))))))/100),$AN$102))</f>
        <v>0</v>
      </c>
      <c r="N102" s="135"/>
      <c r="O102" s="135"/>
      <c r="P102" s="135">
        <f t="shared" ref="P102" si="126">IF(V58=0,0,IF($V$7=0,((IF(P$81=0,0,IF(P$81&lt;&gt;0,1,)))*(((IF($G$9=0,0,IF($G$9&lt;&gt;0,1,)))*(IF(SUM($J$8,$M$8)=0,0,($G$9*$AJ$9/3600)/(SUM($J$8,$M$8))))*(IF($C$9=0,0,CHOOSE($C$9,IF($D$9=0,0,CHOOSE($D$9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$9=0,0,CHOOSE($D$9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$9=0,0,CHOOSE($D$9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$9=0,0,CHOOSE($D$9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$10=0,0,IF($G$10&lt;&gt;0,1,)))*(IF(SUM($J$8,$M$8)=0,0,($G$10*$AJ$10/3600)/(SUM($J$8,$M$8))))*(IF($C$10=0,0,CHOOSE($C$10,IF($D$10=0,0,CHOOSE($D$10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$10=0,0,CHOOSE($D$10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$10=0,0,CHOOSE($D$10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$10=0,0,CHOOSE($D$10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$11=0,0,IF($G$11&lt;&gt;0,1,)))*(IF(SUM($J$8,$M$8)=0,0,($G$11*$AJ$11/3600)/(SUM($J$8,$M$8))))*(IF($C$11=0,0,CHOOSE($C$11,IF($D$11=0,0,CHOOSE($D$11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$11=0,0,CHOOSE($D$11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$11=0,0,CHOOSE($D$11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$11=0,0,CHOOSE($D$11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+(IF($G$12=0,0,IF($G$12&lt;&gt;0,1,)))*(IF(SUM($J$8,$M$8)=0,0,($G$12*$AJ$12/3600)/(SUM($J$8,$M$8))))*(IF($C$12=0,0,CHOOSE($C$12,IF($D$12=0,0,CHOOSE($D$12,IF(V$55=0,0,CHOOSE(V$55,90,92)*P$80/P$81+(CHOOSE(V$55,85,87)+IF($AO$135=0,0,5))*P$79/P$81),IF(V$55=0,0,CHOOSE(V$55,89,90)*P$80/P$81+(CHOOSE(V$55,84,85)+IF($AO$135=0,0,5))*P$79/P$81),IF(V$55=0,0,CHOOSE(V$55,70,80)*P$80/P$81+(CHOOSE(V$55,65,85)+IF($AO$135=0,0,5))*P$79/P$81),IF(V$55=0,0,CHOOSE(V$55,80,80)*P$80/P$81+(CHOOSE(V$55,75,75)+IF($AO$135=0,0,5))*P$79/P$81))),IF($D$11=0,0,CHOOSE($D$12,IF(V$55=0,0,CHOOSE(V$55,89,85)*P$80/P$81+(CHOOSE(V$55,84,80)+IF($AO$135=0,0,5))*P$79/P$81),IF(V$55=0,0,CHOOSE(V$55,89,85)*P$80/P$81+(CHOOSE(V$55,84,80)+IF($AO$135=0,0,5))*P$79/P$81),IF(V$55=0,0,CHOOSE(V$55,80,75)*P$80/P$81+(CHOOSE(V$55,75,70)+IF($AO$135=0,0,5))*P$79/P$81))),IF($D$12=0,0,CHOOSE($D$12,IF(V$55=0,0,CHOOSE(V$55,88,88)*P$80/P$81+(CHOOSE(V$55,83,83)+IF($AO$135=0,0,5))*P$79/P$81),IF(V$55=0,0,CHOOSE(V$55,86,86)*P$80/P$81+(CHOOSE(V$55,81,81)+IF($AO$135=0,0,5))*P$79/P$81),IF(V$55=0,0,CHOOSE(V$55,86,86)*P$80/P$81+(CHOOSE(V$55,81,81)+IF($AO$135=0,0,5))*P$79/P$81),IF(V$55=0,0,CHOOSE(V$55,86,86)*P$80/P$81+(CHOOSE(V$55,81,81)+IF($AO$135=0,0,5))*P$79/P$81),IF(V$55=0,0,CHOOSE(V$55,80,80)*P$80/P$81+(CHOOSE(V$55,75,75)+IF($AO$135=0,0,5))*P$79/P$81),IF(V$55=0,0,CHOOSE(V$55,80,80)*P$80/P$81+(CHOOSE(V$55,75,75)+IF($AO$135=0,0,5))*P$79/P$81))),IF($D$12=0,0,CHOOSE($D$12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,IF(V$55=0,0,CHOOSE(V$55,92,92)*P$80/P$81+(CHOOSE(V$55,87,87)+IF($AO$135=0,0,5))*P$79/P$81))))))))/100),$AN$102))</f>
        <v>0</v>
      </c>
      <c r="Q102" s="135"/>
      <c r="R102" s="135"/>
      <c r="S102" s="175">
        <f t="shared" ref="S102" si="127">IF(Y58=0,0,IF($V$7=0,((IF(S$81=0,0,IF(S$81&lt;&gt;0,1,)))*(((IF($G$9=0,0,IF($G$9&lt;&gt;0,1,)))*(IF(SUM($J$8,$M$8)=0,0,($G$9*$AJ$9/3600)/(SUM($J$8,$M$8))))*(IF($C$9=0,0,CHOOSE($C$9,IF($D$9=0,0,CHOOSE($D$9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$9=0,0,CHOOSE($D$9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$9=0,0,CHOOSE($D$9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$9=0,0,CHOOSE($D$9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$10=0,0,IF($G$10&lt;&gt;0,1,)))*(IF(SUM($J$8,$M$8)=0,0,($G$10*$AJ$10/3600)/(SUM($J$8,$M$8))))*(IF($C$10=0,0,CHOOSE($C$10,IF($D$10=0,0,CHOOSE($D$10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$10=0,0,CHOOSE($D$10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$10=0,0,CHOOSE($D$10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$10=0,0,CHOOSE($D$10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$11=0,0,IF($G$11&lt;&gt;0,1,)))*(IF(SUM($J$8,$M$8)=0,0,($G$11*$AJ$11/3600)/(SUM($J$8,$M$8))))*(IF($C$11=0,0,CHOOSE($C$11,IF($D$11=0,0,CHOOSE($D$11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$11=0,0,CHOOSE($D$11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$11=0,0,CHOOSE($D$11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$11=0,0,CHOOSE($D$11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+(IF($G$12=0,0,IF($G$12&lt;&gt;0,1,)))*(IF(SUM($J$8,$M$8)=0,0,($G$12*$AJ$12/3600)/(SUM($J$8,$M$8))))*(IF($C$12=0,0,CHOOSE($C$12,IF($D$12=0,0,CHOOSE($D$12,IF(Y$55=0,0,CHOOSE(Y$55,90,92)*S$80/S$81+(CHOOSE(Y$55,85,87)+IF($AO$135=0,0,5))*S$79/S$81),IF(Y$55=0,0,CHOOSE(Y$55,89,90)*S$80/S$81+(CHOOSE(Y$55,84,85)+IF($AO$135=0,0,5))*S$79/S$81),IF(Y$55=0,0,CHOOSE(Y$55,70,80)*S$80/S$81+(CHOOSE(Y$55,65,85)+IF($AO$135=0,0,5))*S$79/S$81),IF(Y$55=0,0,CHOOSE(Y$55,80,80)*S$80/S$81+(CHOOSE(Y$55,75,75)+IF($AO$135=0,0,5))*S$79/S$81))),IF($D$11=0,0,CHOOSE($D$12,IF(Y$55=0,0,CHOOSE(Y$55,89,85)*S$80/S$81+(CHOOSE(Y$55,84,80)+IF($AO$135=0,0,5))*S$79/S$81),IF(Y$55=0,0,CHOOSE(Y$55,89,85)*S$80/S$81+(CHOOSE(Y$55,84,80)+IF($AO$135=0,0,5))*S$79/S$81),IF(Y$55=0,0,CHOOSE(Y$55,80,75)*S$80/S$81+(CHOOSE(Y$55,75,70)+IF($AO$135=0,0,5))*S$79/S$81))),IF($D$12=0,0,CHOOSE($D$12,IF(Y$55=0,0,CHOOSE(Y$55,88,88)*S$80/S$81+(CHOOSE(Y$55,83,83)+IF($AO$135=0,0,5))*S$79/S$81),IF(Y$55=0,0,CHOOSE(Y$55,86,86)*S$80/S$81+(CHOOSE(Y$55,81,81)+IF($AO$135=0,0,5))*S$79/S$81),IF(Y$55=0,0,CHOOSE(Y$55,86,86)*S$80/S$81+(CHOOSE(Y$55,81,81)+IF($AO$135=0,0,5))*S$79/S$81),IF(Y$55=0,0,CHOOSE(Y$55,86,86)*S$80/S$81+(CHOOSE(Y$55,81,81)+IF($AO$135=0,0,5))*S$79/S$81),IF(Y$55=0,0,CHOOSE(Y$55,80,80)*S$80/S$81+(CHOOSE(Y$55,75,75)+IF($AO$135=0,0,5))*S$79/S$81),IF(Y$55=0,0,CHOOSE(Y$55,80,80)*S$80/S$81+(CHOOSE(Y$55,75,75)+IF($AO$135=0,0,5))*S$79/S$81))),IF($D$12=0,0,CHOOSE($D$12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,IF(Y$55=0,0,CHOOSE(Y$55,92,92)*S$80/S$81+(CHOOSE(Y$55,87,87)+IF($AO$135=0,0,5))*S$79/S$81))))))))/100),$AN$102))</f>
        <v>0</v>
      </c>
      <c r="T102" s="175"/>
      <c r="U102" s="175"/>
      <c r="V102" s="135">
        <f t="shared" ref="V102" si="128">IF(AB58=0,0,IF($V$7=0,((IF(V$81=0,0,IF(V$81&lt;&gt;0,1,)))*(((IF($G$9=0,0,IF($G$9&lt;&gt;0,1,)))*(IF(SUM($J$8,$M$8)=0,0,($G$9*$AJ$9/3600)/(SUM($J$8,$M$8))))*(IF($C$9=0,0,CHOOSE($C$9,IF($D$9=0,0,CHOOSE($D$9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$9=0,0,CHOOSE($D$9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$9=0,0,CHOOSE($D$9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$9=0,0,CHOOSE($D$9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$10=0,0,IF($G$10&lt;&gt;0,1,)))*(IF(SUM($J$8,$M$8)=0,0,($G$10*$AJ$10/3600)/(SUM($J$8,$M$8))))*(IF($C$10=0,0,CHOOSE($C$10,IF($D$10=0,0,CHOOSE($D$10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$10=0,0,CHOOSE($D$10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$10=0,0,CHOOSE($D$10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$10=0,0,CHOOSE($D$10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$11=0,0,IF($G$11&lt;&gt;0,1,)))*(IF(SUM($J$8,$M$8)=0,0,($G$11*$AJ$11/3600)/(SUM($J$8,$M$8))))*(IF($C$11=0,0,CHOOSE($C$11,IF($D$11=0,0,CHOOSE($D$11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$11=0,0,CHOOSE($D$11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$11=0,0,CHOOSE($D$11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$11=0,0,CHOOSE($D$11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+(IF($G$12=0,0,IF($G$12&lt;&gt;0,1,)))*(IF(SUM($J$8,$M$8)=0,0,($G$12*$AJ$12/3600)/(SUM($J$8,$M$8))))*(IF($C$12=0,0,CHOOSE($C$12,IF($D$12=0,0,CHOOSE($D$12,IF(AB$55=0,0,CHOOSE(AB$55,90,92)*V$80/V$81+(CHOOSE(AB$55,85,87)+IF($AO$135=0,0,5))*V$79/V$81),IF(AB$55=0,0,CHOOSE(AB$55,89,90)*V$80/V$81+(CHOOSE(AB$55,84,85)+IF($AO$135=0,0,5))*V$79/V$81),IF(AB$55=0,0,CHOOSE(AB$55,70,80)*V$80/V$81+(CHOOSE(AB$55,65,85)+IF($AO$135=0,0,5))*V$79/V$81),IF(AB$55=0,0,CHOOSE(AB$55,80,80)*V$80/V$81+(CHOOSE(AB$55,75,75)+IF($AO$135=0,0,5))*V$79/V$81))),IF($D$11=0,0,CHOOSE($D$12,IF(AB$55=0,0,CHOOSE(AB$55,89,85)*V$80/V$81+(CHOOSE(AB$55,84,80)+IF($AO$135=0,0,5))*V$79/V$81),IF(AB$55=0,0,CHOOSE(AB$55,89,85)*V$80/V$81+(CHOOSE(AB$55,84,80)+IF($AO$135=0,0,5))*V$79/V$81),IF(AB$55=0,0,CHOOSE(AB$55,80,75)*V$80/V$81+(CHOOSE(AB$55,75,70)+IF($AO$135=0,0,5))*V$79/V$81))),IF($D$12=0,0,CHOOSE($D$12,IF(AB$55=0,0,CHOOSE(AB$55,88,88)*V$80/V$81+(CHOOSE(AB$55,83,83)+IF($AO$135=0,0,5))*V$79/V$81),IF(AB$55=0,0,CHOOSE(AB$55,86,86)*V$80/V$81+(CHOOSE(AB$55,81,81)+IF($AO$135=0,0,5))*V$79/V$81),IF(AB$55=0,0,CHOOSE(AB$55,86,86)*V$80/V$81+(CHOOSE(AB$55,81,81)+IF($AO$135=0,0,5))*V$79/V$81),IF(AB$55=0,0,CHOOSE(AB$55,86,86)*V$80/V$81+(CHOOSE(AB$55,81,81)+IF($AO$135=0,0,5))*V$79/V$81),IF(AB$55=0,0,CHOOSE(AB$55,80,80)*V$80/V$81+(CHOOSE(AB$55,75,75)+IF($AO$135=0,0,5))*V$79/V$81),IF(AB$55=0,0,CHOOSE(AB$55,80,80)*V$80/V$81+(CHOOSE(AB$55,75,75)+IF($AO$135=0,0,5))*V$79/V$81))),IF($D$12=0,0,CHOOSE($D$12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,IF(AB$55=0,0,CHOOSE(AB$55,92,92)*V$80/V$81+(CHOOSE(AB$55,87,87)+IF($AO$135=0,0,5))*V$79/V$81))))))))/100),$AN$102))</f>
        <v>0</v>
      </c>
      <c r="W102" s="135"/>
      <c r="X102" s="135"/>
      <c r="Y102" s="135">
        <f t="shared" ref="Y102" si="129">IF(AE58=0,0,IF($V$7=0,((IF(Y$81=0,0,IF(Y$81&lt;&gt;0,1,)))*(((IF($G$9=0,0,IF($G$9&lt;&gt;0,1,)))*(IF(SUM($J$8,$M$8)=0,0,($G$9*$AJ$9/3600)/(SUM($J$8,$M$8))))*(IF($C$9=0,0,CHOOSE($C$9,IF($D$9=0,0,CHOOSE($D$9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$9=0,0,CHOOSE($D$9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$9=0,0,CHOOSE($D$9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$9=0,0,CHOOSE($D$9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$10=0,0,IF($G$10&lt;&gt;0,1,)))*(IF(SUM($J$8,$M$8)=0,0,($G$10*$AJ$10/3600)/(SUM($J$8,$M$8))))*(IF($C$10=0,0,CHOOSE($C$10,IF($D$10=0,0,CHOOSE($D$10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$10=0,0,CHOOSE($D$10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$10=0,0,CHOOSE($D$10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$10=0,0,CHOOSE($D$10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$11=0,0,IF($G$11&lt;&gt;0,1,)))*(IF(SUM($J$8,$M$8)=0,0,($G$11*$AJ$11/3600)/(SUM($J$8,$M$8))))*(IF($C$11=0,0,CHOOSE($C$11,IF($D$11=0,0,CHOOSE($D$11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$11=0,0,CHOOSE($D$11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$11=0,0,CHOOSE($D$11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$11=0,0,CHOOSE($D$11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+(IF($G$12=0,0,IF($G$12&lt;&gt;0,1,)))*(IF(SUM($J$8,$M$8)=0,0,($G$12*$AJ$12/3600)/(SUM($J$8,$M$8))))*(IF($C$12=0,0,CHOOSE($C$12,IF($D$12=0,0,CHOOSE($D$12,IF(AE$55=0,0,CHOOSE(AE$55,90,92)*Y$80/Y$81+(CHOOSE(AE$55,85,87)+IF($AO$135=0,0,5))*Y$79/Y$81),IF(AE$55=0,0,CHOOSE(AE$55,89,90)*Y$80/Y$81+(CHOOSE(AE$55,84,85)+IF($AO$135=0,0,5))*Y$79/Y$81),IF(AE$55=0,0,CHOOSE(AE$55,70,80)*Y$80/Y$81+(CHOOSE(AE$55,65,85)+IF($AO$135=0,0,5))*Y$79/Y$81),IF(AE$55=0,0,CHOOSE(AE$55,80,80)*Y$80/Y$81+(CHOOSE(AE$55,75,75)+IF($AO$135=0,0,5))*Y$79/Y$81))),IF($D$11=0,0,CHOOSE($D$12,IF(AE$55=0,0,CHOOSE(AE$55,89,85)*Y$80/Y$81+(CHOOSE(AE$55,84,80)+IF($AO$135=0,0,5))*Y$79/Y$81),IF(AE$55=0,0,CHOOSE(AE$55,89,85)*Y$80/Y$81+(CHOOSE(AE$55,84,80)+IF($AO$135=0,0,5))*Y$79/Y$81),IF(AE$55=0,0,CHOOSE(AE$55,80,75)*Y$80/Y$81+(CHOOSE(AE$55,75,70)+IF($AO$135=0,0,5))*Y$79/Y$81))),IF($D$12=0,0,CHOOSE($D$12,IF(AE$55=0,0,CHOOSE(AE$55,88,88)*Y$80/Y$81+(CHOOSE(AE$55,83,83)+IF($AO$135=0,0,5))*Y$79/Y$81),IF(AE$55=0,0,CHOOSE(AE$55,86,86)*Y$80/Y$81+(CHOOSE(AE$55,81,81)+IF($AO$135=0,0,5))*Y$79/Y$81),IF(AE$55=0,0,CHOOSE(AE$55,86,86)*Y$80/Y$81+(CHOOSE(AE$55,81,81)+IF($AO$135=0,0,5))*Y$79/Y$81),IF(AE$55=0,0,CHOOSE(AE$55,86,86)*Y$80/Y$81+(CHOOSE(AE$55,81,81)+IF($AO$135=0,0,5))*Y$79/Y$81),IF(AE$55=0,0,CHOOSE(AE$55,80,80)*Y$80/Y$81+(CHOOSE(AE$55,75,75)+IF($AO$135=0,0,5))*Y$79/Y$81),IF(AE$55=0,0,CHOOSE(AE$55,80,80)*Y$80/Y$81+(CHOOSE(AE$55,75,75)+IF($AO$135=0,0,5))*Y$79/Y$81))),IF($D$12=0,0,CHOOSE($D$12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,IF(AE$55=0,0,CHOOSE(AE$55,92,92)*Y$80/Y$81+(CHOOSE(AE$55,87,87)+IF($AO$135=0,0,5))*Y$79/Y$81))))))))/100),$AN$102))</f>
        <v>0</v>
      </c>
      <c r="Z102" s="135"/>
      <c r="AA102" s="135"/>
      <c r="AB102" s="135">
        <f t="shared" ref="AB102" si="130">IF(AH58=0,0,IF($V$7=0,((IF(AB$81=0,0,IF(AB$81&lt;&gt;0,1,)))*(((IF($G$9=0,0,IF($G$9&lt;&gt;0,1,)))*(IF(SUM($J$8,$M$8)=0,0,($G$9*$AJ$9/3600)/(SUM($J$8,$M$8))))*(IF($C$9=0,0,CHOOSE($C$9,IF($D$9=0,0,CHOOSE($D$9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$9=0,0,CHOOSE($D$9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$9=0,0,CHOOSE($D$9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$9=0,0,CHOOSE($D$9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$10=0,0,IF($G$10&lt;&gt;0,1,)))*(IF(SUM($J$8,$M$8)=0,0,($G$10*$AJ$10/3600)/(SUM($J$8,$M$8))))*(IF($C$10=0,0,CHOOSE($C$10,IF($D$10=0,0,CHOOSE($D$10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$10=0,0,CHOOSE($D$10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$10=0,0,CHOOSE($D$10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$10=0,0,CHOOSE($D$10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$11=0,0,IF($G$11&lt;&gt;0,1,)))*(IF(SUM($J$8,$M$8)=0,0,($G$11*$AJ$11/3600)/(SUM($J$8,$M$8))))*(IF($C$11=0,0,CHOOSE($C$11,IF($D$11=0,0,CHOOSE($D$11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$11=0,0,CHOOSE($D$11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$11=0,0,CHOOSE($D$11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$11=0,0,CHOOSE($D$11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+(IF($G$12=0,0,IF($G$12&lt;&gt;0,1,)))*(IF(SUM($J$8,$M$8)=0,0,($G$12*$AJ$12/3600)/(SUM($J$8,$M$8))))*(IF($C$12=0,0,CHOOSE($C$12,IF($D$12=0,0,CHOOSE($D$12,IF(AH$55=0,0,CHOOSE(AH$55,90,92)*AB$80/AB$81+(CHOOSE(AH$55,85,87)+IF($AO$135=0,0,5))*AB$79/AB$81),IF(AH$55=0,0,CHOOSE(AH$55,89,90)*AB$80/AB$81+(CHOOSE(AH$55,84,85)+IF($AO$135=0,0,5))*AB$79/AB$81),IF(AH$55=0,0,CHOOSE(AH$55,70,80)*AB$80/AB$81+(CHOOSE(AH$55,65,85)+IF($AO$135=0,0,5))*AB$79/AB$81),IF(AH$55=0,0,CHOOSE(AH$55,80,80)*AB$80/AB$81+(CHOOSE(AH$55,75,75)+IF($AO$135=0,0,5))*AB$79/AB$81))),IF($D$11=0,0,CHOOSE($D$12,IF(AH$55=0,0,CHOOSE(AH$55,89,85)*AB$80/AB$81+(CHOOSE(AH$55,84,80)+IF($AO$135=0,0,5))*AB$79/AB$81),IF(AH$55=0,0,CHOOSE(AH$55,89,85)*AB$80/AB$81+(CHOOSE(AH$55,84,80)+IF($AO$135=0,0,5))*AB$79/AB$81),IF(AH$55=0,0,CHOOSE(AH$55,80,75)*AB$80/AB$81+(CHOOSE(AH$55,75,70)+IF($AO$135=0,0,5))*AB$79/AB$81))),IF($D$12=0,0,CHOOSE($D$12,IF(AH$55=0,0,CHOOSE(AH$55,88,88)*AB$80/AB$81+(CHOOSE(AH$55,83,83)+IF($AO$135=0,0,5))*AB$79/AB$81),IF(AH$55=0,0,CHOOSE(AH$55,86,86)*AB$80/AB$81+(CHOOSE(AH$55,81,81)+IF($AO$135=0,0,5))*AB$79/AB$81),IF(AH$55=0,0,CHOOSE(AH$55,86,86)*AB$80/AB$81+(CHOOSE(AH$55,81,81)+IF($AO$135=0,0,5))*AB$79/AB$81),IF(AH$55=0,0,CHOOSE(AH$55,86,86)*AB$80/AB$81+(CHOOSE(AH$55,81,81)+IF($AO$135=0,0,5))*AB$79/AB$81),IF(AH$55=0,0,CHOOSE(AH$55,80,80)*AB$80/AB$81+(CHOOSE(AH$55,75,75)+IF($AO$135=0,0,5))*AB$79/AB$81),IF(AH$55=0,0,CHOOSE(AH$55,80,80)*AB$80/AB$81+(CHOOSE(AH$55,75,75)+IF($AO$135=0,0,5))*AB$79/AB$81))),IF($D$12=0,0,CHOOSE($D$12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,IF(AH$55=0,0,CHOOSE(AH$55,92,92)*AB$80/AB$81+(CHOOSE(AH$55,87,87)+IF($AO$135=0,0,5))*AB$79/AB$81))))))))/100),$AN$102))</f>
        <v>0</v>
      </c>
      <c r="AC102" s="135"/>
      <c r="AD102" s="135"/>
      <c r="AE102" s="135">
        <f t="shared" ref="AE102" si="131">IF(AK58=0,0,IF($V$7=0,((IF(AE$81=0,0,IF(AE$81&lt;&gt;0,1,)))*(((IF($G$9=0,0,IF($G$9&lt;&gt;0,1,)))*(IF(SUM($J$8,$M$8)=0,0,($G$9*$AJ$9/3600)/(SUM($J$8,$M$8))))*(IF($C$9=0,0,CHOOSE($C$9,IF($D$9=0,0,CHOOSE($D$9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$9=0,0,CHOOSE($D$9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$9=0,0,CHOOSE($D$9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$9=0,0,CHOOSE($D$9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$10=0,0,IF($G$10&lt;&gt;0,1,)))*(IF(SUM($J$8,$M$8)=0,0,($G$10*$AJ$10/3600)/(SUM($J$8,$M$8))))*(IF($C$10=0,0,CHOOSE($C$10,IF($D$10=0,0,CHOOSE($D$10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$10=0,0,CHOOSE($D$10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$10=0,0,CHOOSE($D$10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$10=0,0,CHOOSE($D$10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$11=0,0,IF($G$11&lt;&gt;0,1,)))*(IF(SUM($J$8,$M$8)=0,0,($G$11*$AJ$11/3600)/(SUM($J$8,$M$8))))*(IF($C$11=0,0,CHOOSE($C$11,IF($D$11=0,0,CHOOSE($D$11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$11=0,0,CHOOSE($D$11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$11=0,0,CHOOSE($D$11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$11=0,0,CHOOSE($D$11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+(IF($G$12=0,0,IF($G$12&lt;&gt;0,1,)))*(IF(SUM($J$8,$M$8)=0,0,($G$12*$AJ$12/3600)/(SUM($J$8,$M$8))))*(IF($C$12=0,0,CHOOSE($C$12,IF($D$12=0,0,CHOOSE($D$12,IF(AK$55=0,0,CHOOSE(AK$55,90,92)*AE$80/AE$81+(CHOOSE(AK$55,85,87)+IF($AO$135=0,0,5))*AE$79/AE$81),IF(AK$55=0,0,CHOOSE(AK$55,89,90)*AE$80/AE$81+(CHOOSE(AK$55,84,85)+IF($AO$135=0,0,5))*AE$79/AE$81),IF(AK$55=0,0,CHOOSE(AK$55,70,80)*AE$80/AE$81+(CHOOSE(AK$55,65,85)+IF($AO$135=0,0,5))*AE$79/AE$81),IF(AK$55=0,0,CHOOSE(AK$55,80,80)*AE$80/AE$81+(CHOOSE(AK$55,75,75)+IF($AO$135=0,0,5))*AE$79/AE$81))),IF($D$11=0,0,CHOOSE($D$12,IF(AK$55=0,0,CHOOSE(AK$55,89,85)*AE$80/AE$81+(CHOOSE(AK$55,84,80)+IF($AO$135=0,0,5))*AE$79/AE$81),IF(AK$55=0,0,CHOOSE(AK$55,89,85)*AE$80/AE$81+(CHOOSE(AK$55,84,80)+IF($AO$135=0,0,5))*AE$79/AE$81),IF(AK$55=0,0,CHOOSE(AK$55,80,75)*AE$80/AE$81+(CHOOSE(AK$55,75,70)+IF($AO$135=0,0,5))*AE$79/AE$81))),IF($D$12=0,0,CHOOSE($D$12,IF(AK$55=0,0,CHOOSE(AK$55,88,88)*AE$80/AE$81+(CHOOSE(AK$55,83,83)+IF($AO$135=0,0,5))*AE$79/AE$81),IF(AK$55=0,0,CHOOSE(AK$55,86,86)*AE$80/AE$81+(CHOOSE(AK$55,81,81)+IF($AO$135=0,0,5))*AE$79/AE$81),IF(AK$55=0,0,CHOOSE(AK$55,86,86)*AE$80/AE$81+(CHOOSE(AK$55,81,81)+IF($AO$135=0,0,5))*AE$79/AE$81),IF(AK$55=0,0,CHOOSE(AK$55,86,86)*AE$80/AE$81+(CHOOSE(AK$55,81,81)+IF($AO$135=0,0,5))*AE$79/AE$81),IF(AK$55=0,0,CHOOSE(AK$55,80,80)*AE$80/AE$81+(CHOOSE(AK$55,75,75)+IF($AO$135=0,0,5))*AE$79/AE$81),IF(AK$55=0,0,CHOOSE(AK$55,80,80)*AE$80/AE$81+(CHOOSE(AK$55,75,75)+IF($AO$135=0,0,5))*AE$79/AE$81))),IF($D$12=0,0,CHOOSE($D$12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,IF(AK$55=0,0,CHOOSE(AK$55,92,92)*AE$80/AE$81+(CHOOSE(AK$55,87,87)+IF($AO$135=0,0,5))*AE$79/AE$81))))))))/100),$AN$102))</f>
        <v>0</v>
      </c>
      <c r="AF102" s="135"/>
      <c r="AG102" s="135"/>
      <c r="AH102" s="135">
        <f t="shared" ref="AH102" si="132">IF(AN58=0,0,IF($V$7=0,((IF(AH$81=0,0,IF(AH$81&lt;&gt;0,1,)))*(((IF($G$9=0,0,IF($G$9&lt;&gt;0,1,)))*(IF(SUM($J$8,$M$8)=0,0,($G$9*$AJ$9/3600)/(SUM($J$8,$M$8))))*(IF($C$9=0,0,CHOOSE($C$9,IF($D$9=0,0,CHOOSE($D$9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$9=0,0,CHOOSE($D$9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$9=0,0,CHOOSE($D$9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$9=0,0,CHOOSE($D$9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$10=0,0,IF($G$10&lt;&gt;0,1,)))*(IF(SUM($J$8,$M$8)=0,0,($G$10*$AJ$10/3600)/(SUM($J$8,$M$8))))*(IF($C$10=0,0,CHOOSE($C$10,IF($D$10=0,0,CHOOSE($D$10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$10=0,0,CHOOSE($D$10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$10=0,0,CHOOSE($D$10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$10=0,0,CHOOSE($D$10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$11=0,0,IF($G$11&lt;&gt;0,1,)))*(IF(SUM($J$8,$M$8)=0,0,($G$11*$AJ$11/3600)/(SUM($J$8,$M$8))))*(IF($C$11=0,0,CHOOSE($C$11,IF($D$11=0,0,CHOOSE($D$11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$11=0,0,CHOOSE($D$11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$11=0,0,CHOOSE($D$11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$11=0,0,CHOOSE($D$11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+(IF($G$12=0,0,IF($G$12&lt;&gt;0,1,)))*(IF(SUM($J$8,$M$8)=0,0,($G$12*$AJ$12/3600)/(SUM($J$8,$M$8))))*(IF($C$12=0,0,CHOOSE($C$12,IF($D$12=0,0,CHOOSE($D$12,IF(AN$55=0,0,CHOOSE(AN$55,90,92)*AH$80/AH$81+(CHOOSE(AN$55,85,87)+IF($AO$135=0,0,5))*AH$79/AH$81),IF(AN$55=0,0,CHOOSE(AN$55,89,90)*AH$80/AH$81+(CHOOSE(AN$55,84,85)+IF($AO$135=0,0,5))*AH$79/AH$81),IF(AN$55=0,0,CHOOSE(AN$55,70,80)*AH$80/AH$81+(CHOOSE(AN$55,65,85)+IF($AO$135=0,0,5))*AH$79/AH$81),IF(AN$55=0,0,CHOOSE(AN$55,80,80)*AH$80/AH$81+(CHOOSE(AN$55,75,75)+IF($AO$135=0,0,5))*AH$79/AH$81))),IF($D$11=0,0,CHOOSE($D$12,IF(AN$55=0,0,CHOOSE(AN$55,89,85)*AH$80/AH$81+(CHOOSE(AN$55,84,80)+IF($AO$135=0,0,5))*AH$79/AH$81),IF(AN$55=0,0,CHOOSE(AN$55,89,85)*AH$80/AH$81+(CHOOSE(AN$55,84,80)+IF($AO$135=0,0,5))*AH$79/AH$81),IF(AN$55=0,0,CHOOSE(AN$55,80,75)*AH$80/AH$81+(CHOOSE(AN$55,75,70)+IF($AO$135=0,0,5))*AH$79/AH$81))),IF($D$12=0,0,CHOOSE($D$12,IF(AN$55=0,0,CHOOSE(AN$55,88,88)*AH$80/AH$81+(CHOOSE(AN$55,83,83)+IF($AO$135=0,0,5))*AH$79/AH$81),IF(AN$55=0,0,CHOOSE(AN$55,86,86)*AH$80/AH$81+(CHOOSE(AN$55,81,81)+IF($AO$135=0,0,5))*AH$79/AH$81),IF(AN$55=0,0,CHOOSE(AN$55,86,86)*AH$80/AH$81+(CHOOSE(AN$55,81,81)+IF($AO$135=0,0,5))*AH$79/AH$81),IF(AN$55=0,0,CHOOSE(AN$55,86,86)*AH$80/AH$81+(CHOOSE(AN$55,81,81)+IF($AO$135=0,0,5))*AH$79/AH$81),IF(AN$55=0,0,CHOOSE(AN$55,80,80)*AH$80/AH$81+(CHOOSE(AN$55,75,75)+IF($AO$135=0,0,5))*AH$79/AH$81),IF(AN$55=0,0,CHOOSE(AN$55,80,80)*AH$80/AH$81+(CHOOSE(AN$55,75,75)+IF($AO$135=0,0,5))*AH$79/AH$81))),IF($D$12=0,0,CHOOSE($D$12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,IF(AN$55=0,0,CHOOSE(AN$55,92,92)*AH$80/AH$81+(CHOOSE(AN$55,87,87)+IF($AO$135=0,0,5))*AH$79/AH$81))))))))/100),$AN$102))</f>
        <v>0</v>
      </c>
      <c r="AI102" s="135"/>
      <c r="AJ102" s="135"/>
      <c r="AK102" s="135">
        <f t="shared" ref="AK102" si="133">IF(AQ58=0,0,IF($V$7=0,((IF(AK$81=0,0,IF(AK$81&lt;&gt;0,1,)))*(((IF($G$9=0,0,IF($G$9&lt;&gt;0,1,)))*(IF(SUM($J$8,$M$8)=0,0,($G$9*$AJ$9/3600)/(SUM($J$8,$M$8))))*(IF($C$9=0,0,CHOOSE($C$9,IF($D$9=0,0,CHOOSE($D$9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$9=0,0,CHOOSE($D$9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$9=0,0,CHOOSE($D$9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$9=0,0,CHOOSE($D$9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$10=0,0,IF($G$10&lt;&gt;0,1,)))*(IF(SUM($J$8,$M$8)=0,0,($G$10*$AJ$10/3600)/(SUM($J$8,$M$8))))*(IF($C$10=0,0,CHOOSE($C$10,IF($D$10=0,0,CHOOSE($D$10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$10=0,0,CHOOSE($D$10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$10=0,0,CHOOSE($D$10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$10=0,0,CHOOSE($D$10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$11=0,0,IF($G$11&lt;&gt;0,1,)))*(IF(SUM($J$8,$M$8)=0,0,($G$11*$AJ$11/3600)/(SUM($J$8,$M$8))))*(IF($C$11=0,0,CHOOSE($C$11,IF($D$11=0,0,CHOOSE($D$11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$11=0,0,CHOOSE($D$11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$11=0,0,CHOOSE($D$11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$11=0,0,CHOOSE($D$11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+(IF($G$12=0,0,IF($G$12&lt;&gt;0,1,)))*(IF(SUM($J$8,$M$8)=0,0,($G$12*$AJ$12/3600)/(SUM($J$8,$M$8))))*(IF($C$12=0,0,CHOOSE($C$12,IF($D$12=0,0,CHOOSE($D$12,IF(AQ$55=0,0,CHOOSE(AQ$55,90,92)*AK$80/AK$81+(CHOOSE(AQ$55,85,87)+IF($AO$135=0,0,5))*AK$79/AK$81),IF(AQ$55=0,0,CHOOSE(AQ$55,89,90)*AK$80/AK$81+(CHOOSE(AQ$55,84,85)+IF($AO$135=0,0,5))*AK$79/AK$81),IF(AQ$55=0,0,CHOOSE(AQ$55,70,80)*AK$80/AK$81+(CHOOSE(AQ$55,65,85)+IF($AO$135=0,0,5))*AK$79/AK$81),IF(AQ$55=0,0,CHOOSE(AQ$55,80,80)*AK$80/AK$81+(CHOOSE(AQ$55,75,75)+IF($AO$135=0,0,5))*AK$79/AK$81))),IF($D$11=0,0,CHOOSE($D$12,IF(AQ$55=0,0,CHOOSE(AQ$55,89,85)*AK$80/AK$81+(CHOOSE(AQ$55,84,80)+IF($AO$135=0,0,5))*AK$79/AK$81),IF(AQ$55=0,0,CHOOSE(AQ$55,89,85)*AK$80/AK$81+(CHOOSE(AQ$55,84,80)+IF($AO$135=0,0,5))*AK$79/AK$81),IF(AQ$55=0,0,CHOOSE(AQ$55,80,75)*AK$80/AK$81+(CHOOSE(AQ$55,75,70)+IF($AO$135=0,0,5))*AK$79/AK$81))),IF($D$12=0,0,CHOOSE($D$12,IF(AQ$55=0,0,CHOOSE(AQ$55,88,88)*AK$80/AK$81+(CHOOSE(AQ$55,83,83)+IF($AO$135=0,0,5))*AK$79/AK$81),IF(AQ$55=0,0,CHOOSE(AQ$55,86,86)*AK$80/AK$81+(CHOOSE(AQ$55,81,81)+IF($AO$135=0,0,5))*AK$79/AK$81),IF(AQ$55=0,0,CHOOSE(AQ$55,86,86)*AK$80/AK$81+(CHOOSE(AQ$55,81,81)+IF($AO$135=0,0,5))*AK$79/AK$81),IF(AQ$55=0,0,CHOOSE(AQ$55,86,86)*AK$80/AK$81+(CHOOSE(AQ$55,81,81)+IF($AO$135=0,0,5))*AK$79/AK$81),IF(AQ$55=0,0,CHOOSE(AQ$55,80,80)*AK$80/AK$81+(CHOOSE(AQ$55,75,75)+IF($AO$135=0,0,5))*AK$79/AK$81),IF(AQ$55=0,0,CHOOSE(AQ$55,80,80)*AK$80/AK$81+(CHOOSE(AQ$55,75,75)+IF($AO$135=0,0,5))*AK$79/AK$81))),IF($D$12=0,0,CHOOSE($D$12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,IF(AQ$55=0,0,CHOOSE(AQ$55,92,92)*AK$80/AK$81+(CHOOSE(AQ$55,87,87)+IF($AO$135=0,0,5))*AK$79/AK$81))))))))/100),$AN$102))</f>
        <v>0</v>
      </c>
      <c r="AL102" s="135"/>
      <c r="AM102" s="135"/>
      <c r="AN102" s="381">
        <f>IF(O48=0,0,ROUND((IF(AN$81=0,0,IF(AN$81&lt;&gt;0,1,)))*((IF($G$13=0,0,IF($G$13&lt;&gt;0,1,)))*(IF($C$13=0,0,CHOOSE($C$13,IF($D$13=0,0,CHOOSE($D$13,IF(O$52=0,0,CHOOSE(O$52,90,92)*AN$80/AN$81+(CHOOSE(O$52,85,87)+IF($AO$135=0,0,5))*AN$79/AN$81),IF(O$52=0,0,CHOOSE(O$52,89,90)*AN$80/AN$81+(CHOOSE(O$52,84,85)+IF($AO$135=0,0,5))*AN$79/AN$81),IF(O$52=0,0,CHOOSE(O$52,70,80)*AN$80/AN$81+(CHOOSE(O$52,65,75)+IF($AO$135=0,0,5))*AN$79/AN$81),IF(O$52=0,0,CHOOSE(O$52,80,80)*AN$80/AN$81+(CHOOSE(O$52,75,75)+IF($AO$135=0,0,5))*AN$79/AN$81))),IF($D$13=0,0,CHOOSE($D$13,IF(O$52=0,0,CHOOSE(O$52,89,95)*AN$80/AN$81+(CHOOSE(O$52,84,80)+IF($AO$135=0,0,5))*AN$79/AN$81),IF(O$52=0,0,CHOOSE(O$52,89,85)*AN$80/AN$81+(CHOOSE(O$52,84,80)+IF($AO$135=0,0,5))*AN$79/AN$81),IF(O$52=0,0,CHOOSE(O$52,80,75)*AN$80/AN$81+(CHOOSE(O$52,75,70)+IF($AO$135=0,0,5))*AN$79/AN$81)))))))/100,4))</f>
        <v>0</v>
      </c>
      <c r="AO102" s="381"/>
      <c r="AP102" s="381"/>
      <c r="AQ102" s="381">
        <f>IF(R48=0,0,ROUND((IF(AQ$81=0,0,IF(AQ$81&lt;&gt;0,1,)))*((IF($G$13=0,0,IF($G$13&lt;&gt;0,1,)))*(IF($C$13=0,0,CHOOSE($C$13,IF($D$13=0,0,CHOOSE($D$13,IF(R$52=0,0,CHOOSE(R$52,90,92)*AQ$80/AQ$81+(CHOOSE(R$52,85,87)+IF($AO$135=0,0,5))*AQ$79/AQ$81),IF(R$52=0,0,CHOOSE(R$52,89,90)*AQ$80/AQ$81+(CHOOSE(R$52,84,85)+IF($AO$135=0,0,5))*AQ$79/AQ$81),IF(R$52=0,0,CHOOSE(R$52,70,80)*AQ$80/AQ$81+(CHOOSE(R$52,65,75)+IF($AO$135=0,0,5))*AQ$79/AQ$81),IF(R$52=0,0,CHOOSE(R$52,80,80)*AQ$80/AQ$81+(CHOOSE(R$52,75,75)+IF($AO$135=0,0,5))*AQ$79/AQ$81))),IF($D$13=0,0,CHOOSE($D$13,IF(R$52=0,0,CHOOSE(R$52,89,95)*AQ$80/AQ$81+(CHOOSE(R$52,84,80)+IF($AO$135=0,0,5))*AQ$79/AQ$81),IF(R$52=0,0,CHOOSE(R$52,89,85)*AQ$80/AQ$81+(CHOOSE(R$52,84,80)+IF($AO$135=0,0,5))*AQ$79/AQ$81),IF(R$52=0,0,CHOOSE(R$52,80,75)*AQ$80/AQ$81+(CHOOSE(R$52,75,70)+IF($AO$135=0,0,5))*AQ$79/AQ$81)))))))/100,4))</f>
        <v>0</v>
      </c>
      <c r="AR102" s="381"/>
      <c r="AS102" s="381"/>
    </row>
    <row r="103" spans="1:45" s="14" customFormat="1" ht="14.25" customHeight="1">
      <c r="A103" s="64">
        <v>25</v>
      </c>
      <c r="B103" s="140" t="s">
        <v>321</v>
      </c>
      <c r="C103" s="141"/>
      <c r="D103" s="141"/>
      <c r="E103" s="167">
        <f>IF($AS$1=0,0,CHOOSE($AS$1,"ТГ","КПГЦ"))</f>
        <v>0</v>
      </c>
      <c r="F103" s="167"/>
      <c r="G103" s="168"/>
      <c r="H103" s="134" t="s">
        <v>24</v>
      </c>
      <c r="I103" s="134"/>
      <c r="J103" s="126">
        <f>IF($AS$1=0,0,IF($AS$1=1,0,IF($AS$1=2,ROUND(IF($J$100=0,0,$J$97/$J$100),4))))</f>
        <v>0</v>
      </c>
      <c r="K103" s="126"/>
      <c r="L103" s="126"/>
      <c r="M103" s="126">
        <f>IF($AS$1=0,0,IF($AS$1=1,ROUND(IF(M$100=0,0,M$97/M$100),4),IF($AS$1=2,0,)))</f>
        <v>0</v>
      </c>
      <c r="N103" s="126"/>
      <c r="O103" s="126"/>
      <c r="P103" s="126">
        <f t="shared" ref="P103" si="134">IF($AS$1=0,0,IF($AS$1=1,ROUND(IF(P$100=0,0,P$97/P$100),4),IF($AS$1=2,0,)))</f>
        <v>0</v>
      </c>
      <c r="Q103" s="126"/>
      <c r="R103" s="126"/>
      <c r="S103" s="126">
        <f t="shared" ref="S103" si="135">IF($AS$1=0,0,IF($AS$1=1,ROUND(IF(S$100=0,0,S$97/S$100),4),IF($AS$1=2,0,)))</f>
        <v>0</v>
      </c>
      <c r="T103" s="126"/>
      <c r="U103" s="126"/>
      <c r="V103" s="126">
        <f t="shared" ref="V103" si="136">IF($AS$1=0,0,IF($AS$1=1,ROUND(IF(V$100=0,0,V$97/V$100),4),IF($AS$1=2,0,)))</f>
        <v>0</v>
      </c>
      <c r="W103" s="126"/>
      <c r="X103" s="126"/>
      <c r="Y103" s="126">
        <f t="shared" ref="Y103" si="137">IF($AS$1=0,0,IF($AS$1=1,ROUND(IF(Y$100=0,0,Y$97/Y$100),4),IF($AS$1=2,0,)))</f>
        <v>0</v>
      </c>
      <c r="Z103" s="126"/>
      <c r="AA103" s="126"/>
      <c r="AB103" s="126">
        <f t="shared" ref="AB103" si="138">IF($AS$1=0,0,IF($AS$1=1,ROUND(IF(AB$100=0,0,AB$97/AB$100),4),IF($AS$1=2,0,)))</f>
        <v>0</v>
      </c>
      <c r="AC103" s="126"/>
      <c r="AD103" s="126"/>
      <c r="AE103" s="126">
        <f t="shared" ref="AE103" si="139">IF($AS$1=0,0,IF($AS$1=1,ROUND(IF(AE$100=0,0,AE$97/AE$100),4),IF($AS$1=2,0,)))</f>
        <v>0</v>
      </c>
      <c r="AF103" s="126"/>
      <c r="AG103" s="126"/>
      <c r="AH103" s="126">
        <f t="shared" ref="AH103" si="140">IF($AS$1=0,0,IF($AS$1=1,ROUND(IF(AH$100=0,0,AH$97/AH$100),4),IF($AS$1=2,0,)))</f>
        <v>0</v>
      </c>
      <c r="AI103" s="126"/>
      <c r="AJ103" s="126"/>
      <c r="AK103" s="126">
        <f t="shared" ref="AK103" si="141">IF($AS$1=0,0,IF($AS$1=1,ROUND(IF(AK$100=0,0,AK$97/AK$100),4),IF($AS$1=2,0,)))</f>
        <v>0</v>
      </c>
      <c r="AL103" s="126"/>
      <c r="AM103" s="126"/>
      <c r="AN103" s="381">
        <f t="shared" ref="AN103:AQ105" si="142">IF($AS$1=0,0,IF($AS$1=1,0,IF($AS$1=2,0,)))</f>
        <v>0</v>
      </c>
      <c r="AO103" s="381"/>
      <c r="AP103" s="381"/>
      <c r="AQ103" s="381">
        <f t="shared" si="142"/>
        <v>0</v>
      </c>
      <c r="AR103" s="381"/>
      <c r="AS103" s="381"/>
    </row>
    <row r="104" spans="1:45" s="14" customFormat="1" ht="14.25" customHeight="1">
      <c r="A104" s="64">
        <v>26</v>
      </c>
      <c r="B104" s="140" t="s">
        <v>322</v>
      </c>
      <c r="C104" s="141"/>
      <c r="D104" s="141"/>
      <c r="E104" s="167">
        <f>IF($AS$1=0,0,CHOOSE($AS$1,"ТГ","КПГЦ"))</f>
        <v>0</v>
      </c>
      <c r="F104" s="167"/>
      <c r="G104" s="168"/>
      <c r="H104" s="134" t="s">
        <v>24</v>
      </c>
      <c r="I104" s="134"/>
      <c r="J104" s="126">
        <f>IF($AS$1=0,0,IF($AS$1=1,0,IF($AS$1=2,ROUND(IF($J$100=0,0,$J$81/$J$100),4),)))</f>
        <v>0</v>
      </c>
      <c r="K104" s="126"/>
      <c r="L104" s="126"/>
      <c r="M104" s="126">
        <f>IF($AS$1=0,0,IF($AS$1=1,ROUND(IF(M$100=0,0,M$81/M$100),4),IF($AS$1=2,0,)))</f>
        <v>0</v>
      </c>
      <c r="N104" s="126"/>
      <c r="O104" s="126"/>
      <c r="P104" s="126">
        <f t="shared" ref="P104" si="143">IF($AS$1=0,0,IF($AS$1=1,ROUND(IF(P$100=0,0,P$81/P$100),4),IF($AS$1=2,0,)))</f>
        <v>0</v>
      </c>
      <c r="Q104" s="126"/>
      <c r="R104" s="126"/>
      <c r="S104" s="126">
        <f t="shared" ref="S104" si="144">IF($AS$1=0,0,IF($AS$1=1,ROUND(IF(S$100=0,0,S$81/S$100),4),IF($AS$1=2,0,)))</f>
        <v>0</v>
      </c>
      <c r="T104" s="126"/>
      <c r="U104" s="126"/>
      <c r="V104" s="126">
        <f t="shared" ref="V104" si="145">IF($AS$1=0,0,IF($AS$1=1,ROUND(IF(V$100=0,0,V$81/V$100),4),IF($AS$1=2,0,)))</f>
        <v>0</v>
      </c>
      <c r="W104" s="126"/>
      <c r="X104" s="126"/>
      <c r="Y104" s="126">
        <f t="shared" ref="Y104" si="146">IF($AS$1=0,0,IF($AS$1=1,ROUND(IF(Y$100=0,0,Y$81/Y$100),4),IF($AS$1=2,0,)))</f>
        <v>0</v>
      </c>
      <c r="Z104" s="126"/>
      <c r="AA104" s="126"/>
      <c r="AB104" s="126">
        <f t="shared" ref="AB104" si="147">IF($AS$1=0,0,IF($AS$1=1,ROUND(IF(AB$100=0,0,AB$81/AB$100),4),IF($AS$1=2,0,)))</f>
        <v>0</v>
      </c>
      <c r="AC104" s="126"/>
      <c r="AD104" s="126"/>
      <c r="AE104" s="126">
        <f t="shared" ref="AE104" si="148">IF($AS$1=0,0,IF($AS$1=1,ROUND(IF(AE$100=0,0,AE$81/AE$100),4),IF($AS$1=2,0,)))</f>
        <v>0</v>
      </c>
      <c r="AF104" s="126"/>
      <c r="AG104" s="126"/>
      <c r="AH104" s="126">
        <f t="shared" ref="AH104" si="149">IF($AS$1=0,0,IF($AS$1=1,ROUND(IF(AH$100=0,0,AH$81/AH$100),4),IF($AS$1=2,0,)))</f>
        <v>0</v>
      </c>
      <c r="AI104" s="126"/>
      <c r="AJ104" s="126"/>
      <c r="AK104" s="126">
        <f t="shared" ref="AK104" si="150">IF($AS$1=0,0,IF($AS$1=1,ROUND(IF(AK$100=0,0,AK$81/AK$100),4),IF($AS$1=2,0,)))</f>
        <v>0</v>
      </c>
      <c r="AL104" s="126"/>
      <c r="AM104" s="126"/>
      <c r="AN104" s="381">
        <f t="shared" si="142"/>
        <v>0</v>
      </c>
      <c r="AO104" s="381"/>
      <c r="AP104" s="381"/>
      <c r="AQ104" s="381">
        <f t="shared" si="142"/>
        <v>0</v>
      </c>
      <c r="AR104" s="381"/>
      <c r="AS104" s="381"/>
    </row>
    <row r="105" spans="1:45" ht="15.75" customHeight="1">
      <c r="A105" s="64">
        <v>27</v>
      </c>
      <c r="B105" s="192" t="s">
        <v>336</v>
      </c>
      <c r="C105" s="193"/>
      <c r="D105" s="193"/>
      <c r="E105" s="194">
        <f>IF($AS$1=0,0,CHOOSE($AS$1,"ТГ","КПГЦ"))</f>
        <v>0</v>
      </c>
      <c r="F105" s="194"/>
      <c r="G105" s="195"/>
      <c r="H105" s="134" t="s">
        <v>24</v>
      </c>
      <c r="I105" s="134"/>
      <c r="J105" s="382">
        <f>IF($AS$1=0,0,IF($AS$1=1,ROUND(IF(SUMPRODUCT(M$105:AM$105,M$101:AM$101)=0,0,IF(SUMPRODUCT(M$105:AM$105,M$102:AM$102)=0,0,IF(SUMPRODUCT(M$105:AM$105,M$103:AM$103)/SUMPRODUCT(M$105:AM$105,M$101:AM$101)+SUMPRODUCT(M$105:AM$105,M$104:AM$104)/SUMPRODUCT(M$105:AM$105,M$102:AM$102)=0,0,1-1/(SUMPRODUCT(M$105:AM$105,M$103:AM$103)/SUMPRODUCT(M$105:AM$105,M$101:AM$101)+SUMPRODUCT(M$105:AM$105,M$104:AM$104)/SUMPRODUCT(M$105:AM$105,M$102:AM$102))))),4),IF($AS$1=2,ROUND(IF($J$101=0,0,IF($J$102=0,0,IF($J$103/$J$101+$J$104/$J$102=0,0,1-1/($J$103/$J$101+$J$104/$J$102)))),4),)))</f>
        <v>0</v>
      </c>
      <c r="K105" s="382"/>
      <c r="L105" s="382"/>
      <c r="M105" s="383">
        <f>IF($AS$1=0,0,IF($AS$1=1,ROUND(IF(M$101=0,0,IF(M$102=0,0,IF(M$103/M$101+M$104/M$102=0,0,1-1/(M$103/M$101+M$104/M$102)))),4),IF($AS$1=2,0,)))</f>
        <v>0</v>
      </c>
      <c r="N105" s="384"/>
      <c r="O105" s="385"/>
      <c r="P105" s="383">
        <f t="shared" ref="P105" si="151">IF($AS$1=0,0,IF($AS$1=1,ROUND(IF(P$101=0,0,IF(P$102=0,0,IF(P$103/P$101+P$104/P$102=0,0,1-1/(P$103/P$101+P$104/P$102)))),4),IF($AS$1=2,0,)))</f>
        <v>0</v>
      </c>
      <c r="Q105" s="384"/>
      <c r="R105" s="385"/>
      <c r="S105" s="383">
        <f t="shared" ref="S105" si="152">IF($AS$1=0,0,IF($AS$1=1,ROUND(IF(S$101=0,0,IF(S$102=0,0,IF(S$103/S$101+S$104/S$102=0,0,1-1/(S$103/S$101+S$104/S$102)))),4),IF($AS$1=2,0,)))</f>
        <v>0</v>
      </c>
      <c r="T105" s="384"/>
      <c r="U105" s="385"/>
      <c r="V105" s="383">
        <f t="shared" ref="V105" si="153">IF($AS$1=0,0,IF($AS$1=1,ROUND(IF(V$101=0,0,IF(V$102=0,0,IF(V$103/V$101+V$104/V$102=0,0,1-1/(V$103/V$101+V$104/V$102)))),4),IF($AS$1=2,0,)))</f>
        <v>0</v>
      </c>
      <c r="W105" s="384"/>
      <c r="X105" s="385"/>
      <c r="Y105" s="383">
        <f t="shared" ref="Y105" si="154">IF($AS$1=0,0,IF($AS$1=1,ROUND(IF(Y$101=0,0,IF(Y$102=0,0,IF(Y$103/Y$101+Y$104/Y$102=0,0,1-1/(Y$103/Y$101+Y$104/Y$102)))),4),IF($AS$1=2,0,)))</f>
        <v>0</v>
      </c>
      <c r="Z105" s="384"/>
      <c r="AA105" s="385"/>
      <c r="AB105" s="383">
        <f t="shared" ref="AB105" si="155">IF($AS$1=0,0,IF($AS$1=1,ROUND(IF(AB$101=0,0,IF(AB$102=0,0,IF(AB$103/AB$101+AB$104/AB$102=0,0,1-1/(AB$103/AB$101+AB$104/AB$102)))),4),IF($AS$1=2,0,)))</f>
        <v>0</v>
      </c>
      <c r="AC105" s="384"/>
      <c r="AD105" s="385"/>
      <c r="AE105" s="383">
        <f t="shared" ref="AE105" si="156">IF($AS$1=0,0,IF($AS$1=1,ROUND(IF(AE$101=0,0,IF(AE$102=0,0,IF(AE$103/AE$101+AE$104/AE$102=0,0,1-1/(AE$103/AE$101+AE$104/AE$102)))),4),IF($AS$1=2,0,)))</f>
        <v>0</v>
      </c>
      <c r="AF105" s="384"/>
      <c r="AG105" s="385"/>
      <c r="AH105" s="383">
        <f t="shared" ref="AH105" si="157">IF($AS$1=0,0,IF($AS$1=1,ROUND(IF(AH$101=0,0,IF(AH$102=0,0,IF(AH$103/AH$101+AH$104/AH$102=0,0,1-1/(AH$103/AH$101+AH$104/AH$102)))),4),IF($AS$1=2,0,)))</f>
        <v>0</v>
      </c>
      <c r="AI105" s="384"/>
      <c r="AJ105" s="385"/>
      <c r="AK105" s="383">
        <f t="shared" ref="AK105" si="158">IF($AS$1=0,0,IF($AS$1=1,ROUND(IF(AK$101=0,0,IF(AK$102=0,0,IF(AK$103/AK$101+AK$104/AK$102=0,0,1-1/(AK$103/AK$101+AK$104/AK$102)))),4),IF($AS$1=2,0,)))</f>
        <v>0</v>
      </c>
      <c r="AL105" s="384"/>
      <c r="AM105" s="385"/>
      <c r="AN105" s="386">
        <f t="shared" si="142"/>
        <v>0</v>
      </c>
      <c r="AO105" s="387"/>
      <c r="AP105" s="388"/>
      <c r="AQ105" s="386">
        <f t="shared" si="142"/>
        <v>0</v>
      </c>
      <c r="AR105" s="387"/>
      <c r="AS105" s="388"/>
    </row>
    <row r="106" spans="1:45" s="4" customFormat="1" ht="15.75" customHeight="1">
      <c r="AB106" s="12"/>
      <c r="AC106" s="12"/>
      <c r="AD106" s="12"/>
      <c r="AE106" s="12"/>
      <c r="AF106" s="12"/>
      <c r="AG106" s="12"/>
    </row>
    <row r="107" spans="1:45" s="4" customFormat="1" ht="15.75" customHeight="1">
      <c r="B107" s="188" t="s">
        <v>343</v>
      </c>
      <c r="C107" s="189"/>
      <c r="D107" s="189"/>
      <c r="E107" s="189"/>
      <c r="F107" s="189"/>
      <c r="G107" s="189"/>
      <c r="H107" s="189"/>
      <c r="I107" s="189"/>
      <c r="J107" s="189"/>
      <c r="K107" s="190"/>
      <c r="M107" s="191" t="s">
        <v>389</v>
      </c>
      <c r="N107" s="191"/>
      <c r="O107" s="191"/>
      <c r="P107" s="191"/>
      <c r="Q107" s="191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>
        <f>IF(Q53=0,0,((IF(AP$81=0,0,IF(AP$81&lt;&gt;0,1,)))*((IF($G$13=0,0,IF($G$13&lt;&gt;0,1,)))*(IF($C$13=0,0,CHOOSE($C$13,IF($D$13=0,0,CHOOSE($D$13,IF(Q$52=0,0,CHOOSE(Q$52,90,92)*AP$80/AP$81+(CHOOSE(Q$52,85,87)+IF($AO$135=0,0,5))*AP$79/AP$81),IF(Q$52=0,0,CHOOSE(Q$52,89,90)*AP$80/AP$81+(CHOOSE(Q$52,84,85)+IF($AO$135=0,0,5))*AP$79/AP$81),IF(Q$52=0,0,CHOOSE(Q$52,70,80)*AP$80/AP$81+(CHOOSE(Q$52,65,75)+IF($AO$135=0,0,5))*AP$79/AP$81),IF(Q$52=0,0,CHOOSE(Q$52,80,80)*AP$80/AP$81+(CHOOSE(Q$52,75,75)+IF($AO$135=0,0,5))*AP$79/AP$81))),IF($D$13=0,0,CHOOSE($D$13,IF(Q$52=0,0,CHOOSE(Q$52,89,95)*AP$80/AP$81+(CHOOSE(Q$52,84,80)+IF($AO$135=0,0,5))*AP$79/AP$81),IF(Q$52=0,0,CHOOSE(Q$52,89,85)*AP$80/AP$81+(CHOOSE(Q$52,84,80)+IF($AO$135=0,0,5))*AP$79/AP$81),IF(Q$52=0,0,CHOOSE(Q$52,80,75)*AP$80/AP$81+(CHOOSE(Q$52,75,70)+IF($AO$135=0,0,5))*AP$79/AP$81)))))))/100))</f>
        <v>0</v>
      </c>
      <c r="AQ107"/>
      <c r="AR107"/>
      <c r="AS107"/>
    </row>
    <row r="108" spans="1:45" s="4" customFormat="1" ht="15.75" customHeight="1">
      <c r="B108" s="152" t="s">
        <v>348</v>
      </c>
      <c r="C108" s="153"/>
      <c r="D108" s="153"/>
      <c r="E108" s="153"/>
      <c r="F108" s="153"/>
      <c r="G108" s="153"/>
      <c r="H108" s="153"/>
      <c r="I108" s="153"/>
      <c r="J108" s="153"/>
      <c r="K108" s="154"/>
      <c r="M108" s="166">
        <f>IF(F109=0,0,M109/F109)</f>
        <v>0</v>
      </c>
      <c r="N108" s="166"/>
      <c r="O108" s="166"/>
      <c r="P108" s="166"/>
      <c r="Q108" s="166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s="4" customFormat="1" ht="15.75" customHeight="1" thickBot="1">
      <c r="B109" s="196" t="s">
        <v>349</v>
      </c>
      <c r="C109" s="197"/>
      <c r="D109" s="197"/>
      <c r="E109" s="197"/>
      <c r="F109" s="123">
        <f>J78</f>
        <v>0</v>
      </c>
      <c r="G109" s="123"/>
      <c r="H109" s="123"/>
      <c r="I109" s="123"/>
      <c r="J109" s="123"/>
      <c r="K109" s="124"/>
      <c r="M109" s="125">
        <f>SUM($F$109,-$W$112)</f>
        <v>0</v>
      </c>
      <c r="N109" s="125"/>
      <c r="O109" s="125"/>
      <c r="P109" s="125"/>
      <c r="Q109" s="125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s="4" customFormat="1" ht="15.75" customHeight="1" thickTop="1">
      <c r="B110" s="143" t="s">
        <v>344</v>
      </c>
      <c r="C110" s="144"/>
      <c r="D110" s="144"/>
      <c r="E110" s="145"/>
      <c r="F110" s="146">
        <f>IF($AS$1=0,0,IF($AS$1=1,ROUND((IF(M105-$AQ$123&lt;0,0,IF(M105-$AQ$123&gt;=0,M97,))+IF(P105-$AQ$123&lt;0,0,IF(P105-$AQ$123&gt;=0,P97,))+IF(S105-$AQ$123&lt;0,0,IF(S105-$AQ$123&gt;=0,S97,))+IF(V105-$AQ$123&lt;0,0,IF(V105-$AQ$123&gt;=0,V97,))+IF(Y105-$AQ$123&lt;0,0,IF(Y105-$AQ$123&gt;=0,Y97,))+IF(AB105-$AQ$123&lt;0,0,IF(AB105-$AQ$123&gt;=0,AB97,))+IF(AE105-$AQ$123&lt;0,0,IF(AE105-$AQ$123&gt;=0,AE97,))+IF(AH105-$AQ$123&lt;0,0,IF(AH105-$AQ$123&gt;=0,AH97,))+IF(AK105-$AQ$123&lt;0,0,IF(AK105-$AQ$123&gt;=0,AK97,))),3),IF($AS$1=2,ROUND(IF($J$105-$AQ$123&lt;0,0,IF($J$105-$AQ$123&gt;=0,$J$97,)),3),)))</f>
        <v>0</v>
      </c>
      <c r="G110" s="147"/>
      <c r="H110" s="147"/>
      <c r="I110" s="147"/>
      <c r="J110" s="147"/>
      <c r="K110" s="148"/>
      <c r="M110" s="149">
        <f>IF(F109=0,0,M112/F109)</f>
        <v>0</v>
      </c>
      <c r="N110" s="150"/>
      <c r="O110" s="150"/>
      <c r="P110" s="150"/>
      <c r="Q110" s="151"/>
      <c r="S110" s="155" t="s">
        <v>364</v>
      </c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7"/>
    </row>
    <row r="111" spans="1:45" s="4" customFormat="1" ht="28.5" customHeight="1" thickBot="1">
      <c r="B111" s="169" t="s">
        <v>345</v>
      </c>
      <c r="C111" s="170"/>
      <c r="D111" s="170"/>
      <c r="E111" s="171"/>
      <c r="F111" s="172">
        <f>SUM($F$109,-$F$110)</f>
        <v>0</v>
      </c>
      <c r="G111" s="173"/>
      <c r="H111" s="173"/>
      <c r="I111" s="173"/>
      <c r="J111" s="173"/>
      <c r="K111" s="174"/>
      <c r="M111" s="11"/>
      <c r="N111" s="130" t="s">
        <v>372</v>
      </c>
      <c r="O111" s="130"/>
      <c r="P111" s="11"/>
      <c r="Q111" s="11"/>
      <c r="S111" s="131" t="s">
        <v>357</v>
      </c>
      <c r="T111" s="131"/>
      <c r="U111" s="131"/>
      <c r="V111" s="131"/>
      <c r="W111" s="132">
        <f>IF(F109=0,0,W112/F109)</f>
        <v>0</v>
      </c>
      <c r="X111" s="132"/>
      <c r="Y111" s="132"/>
      <c r="Z111" s="132"/>
      <c r="AA111" s="132"/>
      <c r="AB111" s="132"/>
      <c r="AC111" s="133" t="s">
        <v>386</v>
      </c>
      <c r="AD111" s="133"/>
      <c r="AE111" s="133"/>
      <c r="AF111" s="133"/>
      <c r="AG111" s="133"/>
      <c r="AH111" s="133"/>
      <c r="AI111" s="133" t="s">
        <v>387</v>
      </c>
      <c r="AJ111" s="133"/>
      <c r="AK111" s="133"/>
      <c r="AL111" s="133"/>
      <c r="AM111" s="133"/>
      <c r="AN111" s="133"/>
      <c r="AO111" s="185" t="s">
        <v>388</v>
      </c>
      <c r="AP111" s="186"/>
      <c r="AQ111" s="186"/>
      <c r="AR111" s="186"/>
      <c r="AS111" s="187"/>
    </row>
    <row r="112" spans="1:45" s="4" customFormat="1" ht="15.75" customHeight="1" thickTop="1">
      <c r="B112" s="179" t="s">
        <v>373</v>
      </c>
      <c r="C112" s="180"/>
      <c r="D112" s="180"/>
      <c r="E112" s="181"/>
      <c r="F112" s="182"/>
      <c r="G112" s="183"/>
      <c r="H112" s="183"/>
      <c r="I112" s="183"/>
      <c r="J112" s="183"/>
      <c r="K112" s="184"/>
      <c r="M112" s="365"/>
      <c r="N112" s="366"/>
      <c r="O112" s="366"/>
      <c r="P112" s="366"/>
      <c r="Q112" s="367"/>
      <c r="R112" s="5"/>
      <c r="S112" s="368" t="s">
        <v>365</v>
      </c>
      <c r="T112" s="369"/>
      <c r="U112" s="369"/>
      <c r="V112" s="370"/>
      <c r="W112" s="371">
        <f>SUM(AC112,AI112,AO112)</f>
        <v>0</v>
      </c>
      <c r="X112" s="372"/>
      <c r="Y112" s="372"/>
      <c r="Z112" s="372"/>
      <c r="AA112" s="372"/>
      <c r="AB112" s="373"/>
      <c r="AC112" s="343"/>
      <c r="AD112" s="343"/>
      <c r="AE112" s="343"/>
      <c r="AF112" s="343"/>
      <c r="AG112" s="343"/>
      <c r="AH112" s="343"/>
      <c r="AI112" s="343"/>
      <c r="AJ112" s="343"/>
      <c r="AK112" s="343"/>
      <c r="AL112" s="343"/>
      <c r="AM112" s="343"/>
      <c r="AN112" s="343"/>
      <c r="AO112" s="343"/>
      <c r="AP112" s="343"/>
      <c r="AQ112" s="343"/>
      <c r="AR112" s="343"/>
      <c r="AS112" s="343"/>
    </row>
    <row r="113" spans="1:45" s="4" customFormat="1" ht="15.75" customHeight="1">
      <c r="B113" s="179" t="s">
        <v>352</v>
      </c>
      <c r="C113" s="180"/>
      <c r="D113" s="180"/>
      <c r="E113" s="181"/>
      <c r="F113" s="572"/>
      <c r="G113" s="573"/>
      <c r="H113" s="573"/>
      <c r="I113" s="573"/>
      <c r="J113" s="573"/>
      <c r="K113" s="574"/>
      <c r="M113" s="359">
        <f>IF($M$117=0,0,CHOOSE($M$117,0.976,0.963,0.951,0.936,0.914,0.891,0.851,N118))</f>
        <v>0</v>
      </c>
      <c r="N113" s="360"/>
      <c r="O113" s="360"/>
      <c r="P113" s="360"/>
      <c r="Q113" s="361"/>
      <c r="R113" s="347" t="s">
        <v>342</v>
      </c>
      <c r="S113" s="348"/>
      <c r="T113" s="348"/>
      <c r="U113" s="348"/>
      <c r="V113" s="349"/>
      <c r="W113" s="362">
        <f>IF(W112=0,0,ROUND(SUMPRODUCT(AC113:AS113,AC112:AS112)/W112,3))</f>
        <v>0</v>
      </c>
      <c r="X113" s="363"/>
      <c r="Y113" s="363"/>
      <c r="Z113" s="363"/>
      <c r="AA113" s="363"/>
      <c r="AB113" s="363"/>
      <c r="AC113" s="363">
        <f>IF($AC$117=0,0,CHOOSE($AC$117,1,0.972,0.963,0.952,0.935,0.918,0.888,AD118))</f>
        <v>0</v>
      </c>
      <c r="AD113" s="363"/>
      <c r="AE113" s="363"/>
      <c r="AF113" s="363"/>
      <c r="AG113" s="363"/>
      <c r="AH113" s="363"/>
      <c r="AI113" s="364">
        <f>IF($AI$117=0,0,CHOOSE($AI$117,1,0.972,0.963,0.952,0.935,0.918,0.888,AJ118))</f>
        <v>0</v>
      </c>
      <c r="AJ113" s="364"/>
      <c r="AK113" s="364"/>
      <c r="AL113" s="364"/>
      <c r="AM113" s="364"/>
      <c r="AN113" s="364"/>
      <c r="AO113" s="363">
        <f>IF($AO$117=0,0,CHOOSE($AO$117,1,0.972,0.963,0.952,0.935,0.918,0.888,AP118))</f>
        <v>0</v>
      </c>
      <c r="AP113" s="363"/>
      <c r="AQ113" s="363"/>
      <c r="AR113" s="363"/>
      <c r="AS113" s="374"/>
    </row>
    <row r="114" spans="1:45" s="10" customFormat="1" ht="15.75" customHeight="1">
      <c r="B114"/>
      <c r="C114"/>
      <c r="D114"/>
      <c r="E114"/>
      <c r="F114"/>
      <c r="G114"/>
      <c r="H114"/>
      <c r="I114"/>
      <c r="J114"/>
      <c r="K114"/>
      <c r="N114" s="75"/>
      <c r="O114" s="78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8"/>
      <c r="AF114" s="75"/>
      <c r="AK114" s="75"/>
      <c r="AL114" s="77"/>
      <c r="AM114" s="75"/>
      <c r="AN114" s="75"/>
      <c r="AO114" s="75"/>
      <c r="AP114" s="75"/>
      <c r="AQ114" s="78"/>
    </row>
    <row r="115" spans="1:45" s="4" customFormat="1" ht="15.75" customHeight="1">
      <c r="B115" s="350" t="s">
        <v>363</v>
      </c>
      <c r="C115" s="351"/>
      <c r="D115" s="351"/>
      <c r="E115" s="352"/>
      <c r="F115" s="353">
        <f>IF(F109=0,0,F110-F110/F109*M109)</f>
        <v>0</v>
      </c>
      <c r="G115" s="354"/>
      <c r="H115" s="354"/>
      <c r="I115" s="354"/>
      <c r="J115" s="354"/>
      <c r="K115" s="355"/>
      <c r="L115" s="71"/>
      <c r="M115" s="344" t="s">
        <v>351</v>
      </c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5"/>
      <c r="Z115" s="345"/>
      <c r="AA115" s="345"/>
      <c r="AB115" s="345"/>
      <c r="AC115" s="345"/>
      <c r="AD115" s="345"/>
      <c r="AE115" s="345"/>
      <c r="AF115" s="345"/>
      <c r="AG115" s="345"/>
      <c r="AH115" s="345"/>
      <c r="AI115" s="345"/>
      <c r="AJ115" s="345"/>
      <c r="AK115" s="345"/>
      <c r="AL115" s="345"/>
      <c r="AM115" s="345"/>
      <c r="AN115" s="345"/>
      <c r="AO115" s="345"/>
      <c r="AP115" s="345"/>
      <c r="AQ115" s="345"/>
      <c r="AR115" s="345"/>
      <c r="AS115" s="346"/>
    </row>
    <row r="116" spans="1:45" s="10" customFormat="1" ht="15.75" customHeight="1">
      <c r="B116"/>
      <c r="C116"/>
      <c r="D116"/>
      <c r="E116"/>
      <c r="F116"/>
      <c r="G116"/>
      <c r="H116"/>
      <c r="I116"/>
      <c r="J116"/>
      <c r="K116"/>
      <c r="N116" s="75"/>
      <c r="O116" s="78"/>
      <c r="P116" s="70"/>
      <c r="AE116" s="75"/>
      <c r="AF116" s="76"/>
      <c r="AK116" s="75"/>
      <c r="AL116" s="76"/>
      <c r="AP116" s="75"/>
      <c r="AQ116" s="75"/>
      <c r="AR116" s="76"/>
    </row>
    <row r="117" spans="1:45" ht="15.75" customHeight="1">
      <c r="L117" s="72"/>
      <c r="M117" s="58"/>
      <c r="N117" s="356">
        <f>IF(M117=0,0,IF(M117=8,"Изчислен",IF(M117=7,"&lt; 0,45 kV",IF(M117=6,"≥0,45-&lt;12 kV",IF(M117=5,"≥12-&lt;50 kV",IF(M117=4,"≥50-&lt;100 kV",IF(M117=3,"≥100-&lt;200 kV",IF(M117=2,"≥200-&lt;345 kV",IF(M117=1,"≥345 kV","")))))))))</f>
        <v>0</v>
      </c>
      <c r="O117" s="357" t="str">
        <f t="shared" ref="O117:Q117" si="159">IF(N117=5,"&lt; 0,4 kV",IF(N117=4,"0,4 - 50 kV",IF(N117=3,"51 - 100 kV",IF(N117=2,"101 - 200 kV",IF(N117=1,"&gt; 200 kV","")))))</f>
        <v/>
      </c>
      <c r="P117" s="357" t="str">
        <f t="shared" si="159"/>
        <v/>
      </c>
      <c r="Q117" s="358" t="str">
        <f t="shared" si="159"/>
        <v/>
      </c>
      <c r="S117" s="74" t="s">
        <v>350</v>
      </c>
      <c r="T117" s="356" t="s">
        <v>56</v>
      </c>
      <c r="U117" s="357"/>
      <c r="V117" s="357"/>
      <c r="W117" s="357"/>
      <c r="X117" s="357"/>
      <c r="Y117" s="357"/>
      <c r="Z117" s="358"/>
      <c r="AA117" s="14" t="s">
        <v>347</v>
      </c>
      <c r="AB117" s="4"/>
      <c r="AC117" s="58"/>
      <c r="AD117" s="176">
        <f>IF(AC117=0,0,IF(AC117=8,"Изчислен",IF(AC117=7,"&lt; 0,45 kV",IF(AC117=6,"≥0,45-&lt;12 kV",IF(AC117=5,"≥12-&lt;50 kV",IF(AC117=4,"≥50-&lt;100 kV",IF(AC117=3,"≥100-&lt;200 kV",IF(AC117=2,"≥200-&lt;345 kV",IF(AC117=1,"≥345 kV","")))))))))</f>
        <v>0</v>
      </c>
      <c r="AE117" s="177" t="str">
        <f t="shared" ref="AE117" si="160">IF(AD117=5,"&lt; 0,4 kV",IF(AD117=4,"0,4 - 50 kV",IF(AD117=3,"51 - 100 kV",IF(AD117=2,"101 - 200 kV",IF(AD117=1,"&gt; 200 kV","")))))</f>
        <v/>
      </c>
      <c r="AF117" s="177" t="str">
        <f t="shared" ref="AF117" si="161">IF(AE117=5,"&lt; 0,4 kV",IF(AE117=4,"0,4 - 50 kV",IF(AE117=3,"51 - 100 kV",IF(AE117=2,"101 - 200 kV",IF(AE117=1,"&gt; 200 kV","")))))</f>
        <v/>
      </c>
      <c r="AG117" s="178" t="str">
        <f t="shared" ref="AG117" si="162">IF(AF117=5,"&lt; 0,4 kV",IF(AF117=4,"0,4 - 50 kV",IF(AF117=3,"51 - 100 kV",IF(AF117=2,"101 - 200 kV",IF(AF117=1,"&gt; 200 kV","")))))</f>
        <v/>
      </c>
      <c r="AI117" s="58"/>
      <c r="AJ117" s="176">
        <f>IF(AI117=0,0,IF(AI117=8,"Изчислен",IF(AI117=7,"&lt; 0,45 kV",IF(AI117=6,"≥0,45-&lt;12 kV",IF(AI117=5,"≥12-&lt;50 kV",IF(AI117=4,"≥50-&lt;100 kV",IF(AI117=3,"≥100-&lt;200 kV",IF(AI117=2,"≥200-&lt;345 kV",IF(AI117=1,"≥345 kV","")))))))))</f>
        <v>0</v>
      </c>
      <c r="AK117" s="177" t="str">
        <f t="shared" ref="AK117" si="163">IF(AJ117=5,"&lt; 0,4 kV",IF(AJ117=4,"0,4 - 50 kV",IF(AJ117=3,"51 - 100 kV",IF(AJ117=2,"101 - 200 kV",IF(AJ117=1,"&gt; 200 kV","")))))</f>
        <v/>
      </c>
      <c r="AL117" s="177" t="str">
        <f t="shared" ref="AL117" si="164">IF(AK117=5,"&lt; 0,4 kV",IF(AK117=4,"0,4 - 50 kV",IF(AK117=3,"51 - 100 kV",IF(AK117=2,"101 - 200 kV",IF(AK117=1,"&gt; 200 kV","")))))</f>
        <v/>
      </c>
      <c r="AM117" s="178" t="str">
        <f t="shared" ref="AM117" si="165">IF(AL117=5,"&lt; 0,4 kV",IF(AL117=4,"0,4 - 50 kV",IF(AL117=3,"51 - 100 kV",IF(AL117=2,"101 - 200 kV",IF(AL117=1,"&gt; 200 kV","")))))</f>
        <v/>
      </c>
      <c r="AO117" s="58"/>
      <c r="AP117" s="176">
        <f>IF(AO117=0,0,IF(AO117=8,"Изчислен",IF(AO117=7,"&lt; 0,45 kV",IF(AO117=6,"≥0,45-&lt;12 kV",IF(AO117=5,"≥12-&lt;50 kV",IF(AO117=4,"≥50-&lt;100 kV",IF(AO117=3,"≥100-&lt;200 kV",IF(AO117=2,"≥200-&lt;345 kV",IF(AO117=1,"≥345 kV","")))))))))</f>
        <v>0</v>
      </c>
      <c r="AQ117" s="177" t="str">
        <f t="shared" ref="AQ117" si="166">IF(AP117=5,"&lt; 0,4 kV",IF(AP117=4,"0,4 - 50 kV",IF(AP117=3,"51 - 100 kV",IF(AP117=2,"101 - 200 kV",IF(AP117=1,"&gt; 200 kV","")))))</f>
        <v/>
      </c>
      <c r="AR117" s="177" t="str">
        <f t="shared" ref="AR117" si="167">IF(AQ117=5,"&lt; 0,4 kV",IF(AQ117=4,"0,4 - 50 kV",IF(AQ117=3,"51 - 100 kV",IF(AQ117=2,"101 - 200 kV",IF(AQ117=1,"&gt; 200 kV","")))))</f>
        <v/>
      </c>
      <c r="AS117" s="178" t="str">
        <f t="shared" ref="AS117" si="168">IF(AR117=5,"&lt; 0,4 kV",IF(AR117=4,"0,4 - 50 kV",IF(AR117=3,"51 - 100 kV",IF(AR117=2,"101 - 200 kV",IF(AR117=1,"&gt; 200 kV","")))))</f>
        <v/>
      </c>
    </row>
    <row r="118" spans="1:45" s="4" customFormat="1" ht="15.75" customHeight="1">
      <c r="B118"/>
      <c r="C118"/>
      <c r="D118"/>
      <c r="E118"/>
      <c r="F118"/>
      <c r="G118"/>
      <c r="H118"/>
      <c r="I118"/>
      <c r="J118"/>
      <c r="K118"/>
      <c r="L118" s="73"/>
      <c r="N118" s="375"/>
      <c r="O118" s="376"/>
      <c r="P118" s="376"/>
      <c r="Q118" s="377"/>
      <c r="AD118" s="378"/>
      <c r="AE118" s="379"/>
      <c r="AF118" s="379"/>
      <c r="AG118" s="380"/>
      <c r="AJ118" s="375"/>
      <c r="AK118" s="376"/>
      <c r="AL118" s="376"/>
      <c r="AM118" s="377"/>
      <c r="AP118" s="163"/>
      <c r="AQ118" s="164"/>
      <c r="AR118" s="164"/>
      <c r="AS118" s="165"/>
    </row>
    <row r="119" spans="1:45" s="4" customFormat="1" ht="15.75" customHeight="1"/>
    <row r="120" spans="1:45" s="4" customFormat="1" ht="15.75" customHeight="1">
      <c r="B120" s="160">
        <f>IF($AS$1=0,0,CHOOSE($AS$1,"ТГ","КПГЦ"))</f>
        <v>0</v>
      </c>
      <c r="C120" s="160"/>
      <c r="D120" s="339" t="s">
        <v>55</v>
      </c>
      <c r="E120" s="339"/>
      <c r="F120" s="339"/>
      <c r="G120" s="339"/>
      <c r="H120" s="339"/>
      <c r="I120" s="339"/>
      <c r="J120" s="339"/>
      <c r="K120" s="339" t="s">
        <v>54</v>
      </c>
      <c r="L120" s="339"/>
      <c r="M120" s="339"/>
      <c r="N120" s="339"/>
      <c r="O120" s="339"/>
      <c r="P120" s="339"/>
      <c r="Q120" s="339" t="s">
        <v>53</v>
      </c>
      <c r="R120" s="339"/>
      <c r="S120" s="339"/>
      <c r="T120" s="339"/>
      <c r="U120" s="339"/>
      <c r="V120" s="339"/>
      <c r="W120" s="339"/>
      <c r="X120" s="339"/>
      <c r="Y120" s="339"/>
      <c r="Z120" s="339"/>
      <c r="AA120" s="339"/>
      <c r="AB120" s="339"/>
      <c r="AI120" s="340" t="s">
        <v>359</v>
      </c>
      <c r="AJ120" s="340"/>
      <c r="AK120" s="340"/>
      <c r="AL120" s="340"/>
      <c r="AM120" s="340"/>
      <c r="AN120" s="340"/>
      <c r="AO120" s="311" t="s">
        <v>24</v>
      </c>
      <c r="AP120" s="311"/>
      <c r="AQ120" s="329">
        <f>IF($AS$1=0,0,ROUND(IF($AS$1=1,$P$57,IF($AS$1=2,$J$89,)),4))</f>
        <v>0</v>
      </c>
      <c r="AR120" s="329"/>
      <c r="AS120" s="329"/>
    </row>
    <row r="121" spans="1:45" s="4" customFormat="1" ht="15.75" customHeight="1">
      <c r="B121" s="160"/>
      <c r="C121" s="160"/>
      <c r="D121" s="339"/>
      <c r="E121" s="339"/>
      <c r="F121" s="339"/>
      <c r="G121" s="339"/>
      <c r="H121" s="339"/>
      <c r="I121" s="339"/>
      <c r="J121" s="339"/>
      <c r="K121" s="339"/>
      <c r="L121" s="339"/>
      <c r="M121" s="339"/>
      <c r="N121" s="339"/>
      <c r="O121" s="339"/>
      <c r="P121" s="339"/>
      <c r="Q121" s="339" t="s">
        <v>51</v>
      </c>
      <c r="R121" s="339"/>
      <c r="S121" s="339"/>
      <c r="T121" s="339"/>
      <c r="U121" s="339"/>
      <c r="V121" s="339"/>
      <c r="W121" s="339" t="s">
        <v>50</v>
      </c>
      <c r="X121" s="339"/>
      <c r="Y121" s="339"/>
      <c r="Z121" s="339"/>
      <c r="AA121" s="339"/>
      <c r="AB121" s="339"/>
      <c r="AI121" s="341" t="s">
        <v>360</v>
      </c>
      <c r="AJ121" s="310"/>
      <c r="AK121" s="310"/>
      <c r="AL121" s="310"/>
      <c r="AM121" s="310"/>
      <c r="AN121" s="310"/>
      <c r="AO121" s="311" t="s">
        <v>24</v>
      </c>
      <c r="AP121" s="311"/>
      <c r="AQ121" s="342">
        <f>IF($AS$1=0,0,ROUND(IF($AS$1=1,$J$87,IF($AS$1=2,$J$88,)),4))</f>
        <v>0</v>
      </c>
      <c r="AR121" s="342"/>
      <c r="AS121" s="342"/>
    </row>
    <row r="122" spans="1:45" s="4" customFormat="1" ht="15.75" customHeight="1">
      <c r="B122" s="281" t="s">
        <v>49</v>
      </c>
      <c r="C122" s="281"/>
      <c r="D122" s="327">
        <f>J83</f>
        <v>0</v>
      </c>
      <c r="E122" s="327"/>
      <c r="F122" s="327"/>
      <c r="G122" s="327"/>
      <c r="H122" s="327"/>
      <c r="I122" s="327"/>
      <c r="J122" s="327"/>
      <c r="K122" s="327">
        <f>J81</f>
        <v>0</v>
      </c>
      <c r="L122" s="327"/>
      <c r="M122" s="327"/>
      <c r="N122" s="327"/>
      <c r="O122" s="327"/>
      <c r="P122" s="327"/>
      <c r="Q122" s="327">
        <f>J82</f>
        <v>0</v>
      </c>
      <c r="R122" s="327"/>
      <c r="S122" s="327"/>
      <c r="T122" s="327"/>
      <c r="U122" s="327"/>
      <c r="V122" s="327"/>
      <c r="W122" s="281" t="s">
        <v>47</v>
      </c>
      <c r="X122" s="281"/>
      <c r="Y122" s="281"/>
      <c r="Z122" s="281"/>
      <c r="AA122" s="281"/>
      <c r="AB122" s="281"/>
      <c r="AI122" s="328" t="s">
        <v>341</v>
      </c>
      <c r="AJ122" s="328"/>
      <c r="AK122" s="328"/>
      <c r="AL122" s="328"/>
      <c r="AM122" s="328"/>
      <c r="AN122" s="328"/>
      <c r="AO122" s="311" t="s">
        <v>24</v>
      </c>
      <c r="AP122" s="311"/>
      <c r="AQ122" s="329">
        <f>ROUND(IF($AS$1=0,0,0.9),4)</f>
        <v>0</v>
      </c>
      <c r="AR122" s="329"/>
      <c r="AS122" s="329"/>
    </row>
    <row r="123" spans="1:45" s="4" customFormat="1" ht="15.75" customHeight="1">
      <c r="B123" s="281" t="s">
        <v>48</v>
      </c>
      <c r="C123" s="281"/>
      <c r="D123" s="337">
        <f>SUM(P72,L49)</f>
        <v>0</v>
      </c>
      <c r="E123" s="337"/>
      <c r="F123" s="337"/>
      <c r="G123" s="337"/>
      <c r="H123" s="337"/>
      <c r="I123" s="337"/>
      <c r="J123" s="337"/>
      <c r="K123" s="337">
        <f>J97</f>
        <v>0</v>
      </c>
      <c r="L123" s="337"/>
      <c r="M123" s="337"/>
      <c r="N123" s="337"/>
      <c r="O123" s="337"/>
      <c r="P123" s="337"/>
      <c r="Q123" s="281" t="s">
        <v>47</v>
      </c>
      <c r="R123" s="281"/>
      <c r="S123" s="281"/>
      <c r="T123" s="281"/>
      <c r="U123" s="281"/>
      <c r="V123" s="281"/>
      <c r="W123" s="337">
        <f>J98</f>
        <v>0</v>
      </c>
      <c r="X123" s="337"/>
      <c r="Y123" s="337"/>
      <c r="Z123" s="337"/>
      <c r="AA123" s="337"/>
      <c r="AB123" s="337"/>
      <c r="AI123" s="310" t="s">
        <v>358</v>
      </c>
      <c r="AJ123" s="310"/>
      <c r="AK123" s="310"/>
      <c r="AL123" s="310"/>
      <c r="AM123" s="310"/>
      <c r="AN123" s="310"/>
      <c r="AO123" s="311" t="s">
        <v>24</v>
      </c>
      <c r="AP123" s="311"/>
      <c r="AQ123" s="329">
        <f>ROUND(IF(J78=0,0,0.1),4)</f>
        <v>0</v>
      </c>
      <c r="AR123" s="329"/>
      <c r="AS123" s="329"/>
    </row>
    <row r="124" spans="1:45" s="4" customFormat="1" ht="15.75" customHeight="1">
      <c r="B124" s="281" t="s">
        <v>45</v>
      </c>
      <c r="C124" s="281"/>
      <c r="D124" s="338">
        <f>J77</f>
        <v>0</v>
      </c>
      <c r="E124" s="338"/>
      <c r="F124" s="338"/>
      <c r="G124" s="338"/>
      <c r="H124" s="338"/>
      <c r="I124" s="338"/>
      <c r="J124" s="338"/>
      <c r="K124" s="338">
        <f>J100</f>
        <v>0</v>
      </c>
      <c r="L124" s="338"/>
      <c r="M124" s="338"/>
      <c r="N124" s="338"/>
      <c r="O124" s="338"/>
      <c r="P124" s="338"/>
      <c r="Q124" s="338">
        <f>J84</f>
        <v>0</v>
      </c>
      <c r="R124" s="338"/>
      <c r="S124" s="338"/>
      <c r="T124" s="338"/>
      <c r="U124" s="338"/>
      <c r="V124" s="338"/>
      <c r="W124" s="338">
        <f>J99</f>
        <v>0</v>
      </c>
      <c r="X124" s="338"/>
      <c r="Y124" s="338"/>
      <c r="Z124" s="338"/>
      <c r="AA124" s="338"/>
      <c r="AB124" s="338"/>
      <c r="AI124" s="310" t="s">
        <v>361</v>
      </c>
      <c r="AJ124" s="310"/>
      <c r="AK124" s="310"/>
      <c r="AL124" s="310"/>
      <c r="AM124" s="310"/>
      <c r="AN124" s="310"/>
      <c r="AO124" s="311" t="s">
        <v>24</v>
      </c>
      <c r="AP124" s="311"/>
      <c r="AQ124" s="312">
        <f>ROUND(IF($J$105=0,0,$J$105),4)</f>
        <v>0</v>
      </c>
      <c r="AR124" s="312"/>
      <c r="AS124" s="312"/>
    </row>
    <row r="125" spans="1:45" s="6" customFormat="1" ht="15.75" customHeight="1"/>
    <row r="126" spans="1:45" ht="15.75" customHeight="1"/>
    <row r="127" spans="1:45" s="4" customFormat="1" ht="15.75" customHeight="1">
      <c r="A127" s="313" t="s">
        <v>311</v>
      </c>
      <c r="B127" s="313"/>
      <c r="C127" s="313"/>
      <c r="D127" s="313"/>
      <c r="E127" s="31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/>
      <c r="S127"/>
      <c r="T127"/>
      <c r="U127"/>
      <c r="V127"/>
      <c r="W127"/>
      <c r="X127"/>
      <c r="Y127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s="1" customFormat="1" ht="15.75" customHeight="1" thickBot="1"/>
    <row r="129" spans="1:45" s="1" customFormat="1" ht="31.5" customHeight="1">
      <c r="A129" s="66" t="s">
        <v>7</v>
      </c>
      <c r="B129" s="160" t="s">
        <v>19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58" t="s">
        <v>5</v>
      </c>
      <c r="O129" s="158"/>
      <c r="P129" s="322" t="s">
        <v>33</v>
      </c>
      <c r="Q129" s="322"/>
      <c r="R129" s="322"/>
      <c r="S129" s="322"/>
      <c r="T129" s="322"/>
      <c r="U129" s="323" t="s">
        <v>43</v>
      </c>
      <c r="V129" s="323"/>
      <c r="W129" s="323"/>
      <c r="X129" s="323"/>
      <c r="Y129" s="323"/>
      <c r="Z129" s="282" t="s">
        <v>31</v>
      </c>
      <c r="AA129" s="282"/>
      <c r="AB129" s="282"/>
      <c r="AC129" s="282"/>
      <c r="AD129" s="282"/>
      <c r="AE129" s="322" t="s">
        <v>30</v>
      </c>
      <c r="AF129" s="322"/>
      <c r="AG129" s="322"/>
      <c r="AH129" s="322"/>
      <c r="AI129" s="322"/>
      <c r="AJ129" s="323" t="s">
        <v>29</v>
      </c>
      <c r="AK129" s="323"/>
      <c r="AL129" s="323"/>
      <c r="AM129" s="323"/>
      <c r="AN129" s="324"/>
      <c r="AO129" s="330" t="s">
        <v>353</v>
      </c>
      <c r="AP129" s="331"/>
      <c r="AQ129" s="331"/>
      <c r="AR129" s="331"/>
      <c r="AS129" s="332"/>
    </row>
    <row r="130" spans="1:45" s="1" customFormat="1" ht="15.75" customHeight="1">
      <c r="A130" s="8">
        <v>1</v>
      </c>
      <c r="B130" s="268" t="s">
        <v>42</v>
      </c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161" t="s">
        <v>1</v>
      </c>
      <c r="O130" s="161"/>
      <c r="P130" s="217"/>
      <c r="Q130" s="218"/>
      <c r="R130" s="218"/>
      <c r="S130" s="218"/>
      <c r="T130" s="219"/>
      <c r="U130" s="247">
        <f>IF(P130=0,0,SUM(P130,-Z130))</f>
        <v>0</v>
      </c>
      <c r="V130" s="247"/>
      <c r="W130" s="247"/>
      <c r="X130" s="276">
        <f>IF(P130=0,0,U130/P130)</f>
        <v>0</v>
      </c>
      <c r="Y130" s="277"/>
      <c r="Z130" s="209"/>
      <c r="AA130" s="209"/>
      <c r="AB130" s="209"/>
      <c r="AC130" s="209"/>
      <c r="AD130" s="209"/>
      <c r="AE130" s="247">
        <f>SUM(Z130,-AJ130)</f>
        <v>0</v>
      </c>
      <c r="AF130" s="247"/>
      <c r="AG130" s="247"/>
      <c r="AH130" s="276">
        <f>IF(Z130=0,0,AE130/Z130)</f>
        <v>0</v>
      </c>
      <c r="AI130" s="277"/>
      <c r="AJ130" s="333"/>
      <c r="AK130" s="334"/>
      <c r="AL130" s="334"/>
      <c r="AM130" s="334"/>
      <c r="AN130" s="334"/>
      <c r="AO130" s="335">
        <f>ROUND(AR131*AO135/860,3)</f>
        <v>0</v>
      </c>
      <c r="AP130" s="288"/>
      <c r="AQ130" s="288"/>
      <c r="AR130" s="247"/>
      <c r="AS130" s="336"/>
    </row>
    <row r="131" spans="1:45" s="1" customFormat="1" ht="15.75" customHeight="1" thickBot="1">
      <c r="A131" s="8">
        <v>2</v>
      </c>
      <c r="B131" s="268" t="s">
        <v>379</v>
      </c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161" t="s">
        <v>39</v>
      </c>
      <c r="O131" s="161"/>
      <c r="P131" s="287">
        <f>SUM(P132:T134)</f>
        <v>0</v>
      </c>
      <c r="Q131" s="287"/>
      <c r="R131" s="287"/>
      <c r="S131" s="287"/>
      <c r="T131" s="287"/>
      <c r="U131" s="288">
        <f>IF(P131=0,0,SUM(P131,-Z131))</f>
        <v>0</v>
      </c>
      <c r="V131" s="288"/>
      <c r="W131" s="288"/>
      <c r="X131" s="289">
        <f>IF(P131=0,0,U131/P131)</f>
        <v>0</v>
      </c>
      <c r="Y131" s="290"/>
      <c r="Z131" s="291"/>
      <c r="AA131" s="291"/>
      <c r="AB131" s="291"/>
      <c r="AC131" s="291"/>
      <c r="AD131" s="291"/>
      <c r="AE131" s="288">
        <f>SUM(Z131,-AJ131)</f>
        <v>0</v>
      </c>
      <c r="AF131" s="288"/>
      <c r="AG131" s="288"/>
      <c r="AH131" s="289">
        <f>IF(Z131=0,0,AE131/Z131)</f>
        <v>0</v>
      </c>
      <c r="AI131" s="292"/>
      <c r="AJ131" s="293"/>
      <c r="AK131" s="294"/>
      <c r="AL131" s="295"/>
      <c r="AM131" s="295"/>
      <c r="AN131" s="295"/>
      <c r="AO131" s="307" t="s">
        <v>325</v>
      </c>
      <c r="AP131" s="308"/>
      <c r="AQ131" s="309"/>
      <c r="AR131" s="325"/>
      <c r="AS131" s="326"/>
    </row>
    <row r="132" spans="1:45" s="1" customFormat="1" ht="15.75" customHeight="1" thickBot="1">
      <c r="A132" s="8">
        <v>3</v>
      </c>
      <c r="B132" s="216" t="s">
        <v>41</v>
      </c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96" t="s">
        <v>39</v>
      </c>
      <c r="O132" s="296"/>
      <c r="P132" s="297"/>
      <c r="Q132" s="297"/>
      <c r="R132" s="297"/>
      <c r="S132" s="297"/>
      <c r="T132" s="297"/>
      <c r="U132" s="298"/>
      <c r="V132" s="299"/>
      <c r="W132" s="299"/>
      <c r="X132" s="300">
        <f>IF($U$81=0,0,U132/$U$81)</f>
        <v>0</v>
      </c>
      <c r="Y132" s="300"/>
      <c r="Z132" s="301" t="s">
        <v>362</v>
      </c>
      <c r="AA132" s="301"/>
      <c r="AB132" s="301"/>
      <c r="AC132" s="301"/>
      <c r="AD132" s="301"/>
      <c r="AE132" s="301"/>
      <c r="AF132" s="301"/>
      <c r="AG132" s="301"/>
      <c r="AH132" s="301"/>
      <c r="AI132" s="301"/>
      <c r="AJ132" s="301"/>
      <c r="AK132" s="302"/>
      <c r="AO132" s="303" t="s">
        <v>346</v>
      </c>
      <c r="AP132" s="304"/>
      <c r="AQ132" s="304"/>
      <c r="AR132" s="282"/>
      <c r="AS132" s="305"/>
    </row>
    <row r="133" spans="1:45" s="1" customFormat="1" ht="15.75" customHeight="1" thickBot="1">
      <c r="A133" s="8">
        <v>4</v>
      </c>
      <c r="B133" s="216" t="s">
        <v>323</v>
      </c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96" t="s">
        <v>39</v>
      </c>
      <c r="O133" s="296"/>
      <c r="P133" s="297"/>
      <c r="Q133" s="297"/>
      <c r="R133" s="297"/>
      <c r="S133" s="297"/>
      <c r="T133" s="297"/>
      <c r="U133" s="314"/>
      <c r="V133" s="314"/>
      <c r="W133" s="314"/>
      <c r="X133" s="315">
        <f>IF($U$81=0,0,U133/$U$81)</f>
        <v>0</v>
      </c>
      <c r="Y133" s="315"/>
      <c r="Z133" s="316" t="s">
        <v>326</v>
      </c>
      <c r="AA133" s="316"/>
      <c r="AB133" s="316"/>
      <c r="AC133" s="316"/>
      <c r="AD133" s="316"/>
      <c r="AE133" s="316"/>
      <c r="AF133" s="316"/>
      <c r="AG133" s="316"/>
      <c r="AH133" s="316"/>
      <c r="AI133" s="316"/>
      <c r="AJ133" s="316"/>
      <c r="AK133" s="316"/>
      <c r="AO133" s="306"/>
      <c r="AP133" s="282"/>
      <c r="AQ133" s="282"/>
      <c r="AR133" s="282"/>
      <c r="AS133" s="305"/>
    </row>
    <row r="134" spans="1:45" s="1" customFormat="1" ht="15.75" customHeight="1" thickBot="1">
      <c r="A134" s="8">
        <v>5</v>
      </c>
      <c r="B134" s="317" t="s">
        <v>40</v>
      </c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296" t="s">
        <v>39</v>
      </c>
      <c r="O134" s="296"/>
      <c r="P134" s="318"/>
      <c r="Q134" s="318"/>
      <c r="R134" s="318"/>
      <c r="S134" s="318"/>
      <c r="T134" s="318"/>
      <c r="U134" s="319"/>
      <c r="V134" s="319"/>
      <c r="W134" s="319"/>
      <c r="X134" s="320">
        <f>IF($U$81=0,0,U134/$U$81)</f>
        <v>0</v>
      </c>
      <c r="Y134" s="320"/>
      <c r="Z134" s="321" t="s">
        <v>38</v>
      </c>
      <c r="AA134" s="321"/>
      <c r="AB134" s="321"/>
      <c r="AC134" s="321"/>
      <c r="AD134" s="321"/>
      <c r="AE134" s="321"/>
      <c r="AF134" s="321"/>
      <c r="AG134" s="321"/>
      <c r="AH134" s="321"/>
      <c r="AI134" s="321"/>
      <c r="AJ134" s="321"/>
      <c r="AK134" s="321"/>
      <c r="AO134" s="306"/>
      <c r="AP134" s="282"/>
      <c r="AQ134" s="282"/>
      <c r="AR134" s="282"/>
      <c r="AS134" s="305"/>
    </row>
    <row r="135" spans="1:45" s="1" customFormat="1" ht="15.75" customHeight="1" thickBot="1">
      <c r="A135" s="8">
        <v>6</v>
      </c>
      <c r="B135" s="248" t="s">
        <v>37</v>
      </c>
      <c r="C135" s="248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161" t="s">
        <v>36</v>
      </c>
      <c r="O135" s="161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50"/>
      <c r="AA135" s="250"/>
      <c r="AB135" s="250"/>
      <c r="AC135" s="250"/>
      <c r="AD135" s="250"/>
      <c r="AO135" s="251"/>
      <c r="AP135" s="252"/>
      <c r="AQ135" s="252"/>
      <c r="AR135" s="252"/>
      <c r="AS135" s="253"/>
    </row>
    <row r="136" spans="1:45" s="1" customFormat="1" ht="15.75" customHeight="1">
      <c r="A136" s="8">
        <v>7</v>
      </c>
      <c r="B136" s="268" t="s">
        <v>35</v>
      </c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161" t="s">
        <v>34</v>
      </c>
      <c r="O136" s="161"/>
      <c r="P136" s="269">
        <f>IF(P131=0,0,P130/P131*860)</f>
        <v>0</v>
      </c>
      <c r="Q136" s="270"/>
      <c r="R136" s="270"/>
      <c r="S136" s="270"/>
      <c r="T136" s="271"/>
      <c r="U136" s="272"/>
      <c r="V136" s="273"/>
      <c r="W136" s="274"/>
      <c r="X136" s="272"/>
      <c r="Y136" s="274"/>
      <c r="Z136" s="269">
        <f>IF(Z131=0,0,Z130/Z131*860)</f>
        <v>0</v>
      </c>
      <c r="AA136" s="270"/>
      <c r="AB136" s="270"/>
      <c r="AC136" s="270"/>
      <c r="AD136" s="271"/>
      <c r="AE136" s="272"/>
      <c r="AF136" s="273"/>
      <c r="AG136" s="274"/>
      <c r="AH136" s="272"/>
      <c r="AI136" s="274"/>
      <c r="AJ136" s="269">
        <f>IF(AJ131=0,0,AJ130/AJ131*860)</f>
        <v>0</v>
      </c>
      <c r="AK136" s="270"/>
      <c r="AL136" s="270"/>
      <c r="AM136" s="270"/>
      <c r="AN136" s="271"/>
      <c r="AQ136" s="69"/>
    </row>
    <row r="137" spans="1:45" s="1" customFormat="1" ht="15.75" customHeight="1">
      <c r="A137" s="9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45" s="1" customFormat="1" ht="15.75" customHeight="1">
      <c r="A138" s="281" t="s">
        <v>7</v>
      </c>
      <c r="B138" s="160" t="s">
        <v>19</v>
      </c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58" t="s">
        <v>5</v>
      </c>
      <c r="N138" s="158"/>
      <c r="O138" s="282" t="s">
        <v>33</v>
      </c>
      <c r="P138" s="282"/>
      <c r="Q138" s="282"/>
      <c r="R138" s="282"/>
      <c r="S138" s="282" t="s">
        <v>32</v>
      </c>
      <c r="T138" s="282"/>
      <c r="U138" s="282"/>
      <c r="V138" s="282"/>
      <c r="W138" s="282"/>
      <c r="X138" s="283" t="s">
        <v>31</v>
      </c>
      <c r="Y138" s="283"/>
      <c r="Z138" s="283"/>
      <c r="AA138" s="283"/>
      <c r="AB138" s="284" t="s">
        <v>30</v>
      </c>
      <c r="AC138" s="284"/>
      <c r="AD138" s="284"/>
      <c r="AE138" s="284"/>
      <c r="AF138" s="284"/>
      <c r="AG138" s="284"/>
      <c r="AH138" s="284"/>
      <c r="AI138" s="284"/>
      <c r="AJ138" s="284"/>
      <c r="AK138" s="284"/>
      <c r="AL138" s="284"/>
      <c r="AM138" s="284"/>
      <c r="AN138" s="284"/>
      <c r="AO138" s="284"/>
      <c r="AP138" s="282" t="s">
        <v>29</v>
      </c>
      <c r="AQ138" s="282"/>
      <c r="AR138" s="282"/>
      <c r="AS138" s="282"/>
    </row>
    <row r="139" spans="1:45" s="1" customFormat="1" ht="15.75" customHeight="1">
      <c r="A139" s="281"/>
      <c r="B139" s="160"/>
      <c r="C139" s="160"/>
      <c r="D139" s="160"/>
      <c r="E139" s="160"/>
      <c r="F139" s="160"/>
      <c r="G139" s="160"/>
      <c r="H139" s="160"/>
      <c r="I139" s="160"/>
      <c r="J139" s="160"/>
      <c r="K139" s="160"/>
      <c r="L139" s="160"/>
      <c r="M139" s="158"/>
      <c r="N139" s="158"/>
      <c r="O139" s="282"/>
      <c r="P139" s="282"/>
      <c r="Q139" s="282"/>
      <c r="R139" s="282"/>
      <c r="S139" s="282"/>
      <c r="T139" s="282"/>
      <c r="U139" s="282"/>
      <c r="V139" s="282"/>
      <c r="W139" s="282"/>
      <c r="X139" s="283"/>
      <c r="Y139" s="283"/>
      <c r="Z139" s="283"/>
      <c r="AA139" s="283"/>
      <c r="AB139" s="285" t="s">
        <v>28</v>
      </c>
      <c r="AC139" s="285"/>
      <c r="AD139" s="285"/>
      <c r="AE139" s="286" t="s">
        <v>27</v>
      </c>
      <c r="AF139" s="286"/>
      <c r="AG139" s="286"/>
      <c r="AH139" s="285" t="s">
        <v>26</v>
      </c>
      <c r="AI139" s="285"/>
      <c r="AJ139" s="285"/>
      <c r="AK139" s="285" t="s">
        <v>25</v>
      </c>
      <c r="AL139" s="285"/>
      <c r="AM139" s="285"/>
      <c r="AN139" s="285" t="s">
        <v>24</v>
      </c>
      <c r="AO139" s="285"/>
      <c r="AP139" s="282"/>
      <c r="AQ139" s="282"/>
      <c r="AR139" s="282"/>
      <c r="AS139" s="282"/>
    </row>
    <row r="140" spans="1:45" s="1" customFormat="1" ht="15.75" customHeight="1">
      <c r="A140" s="8">
        <v>8</v>
      </c>
      <c r="B140" s="268" t="s">
        <v>380</v>
      </c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161" t="s">
        <v>1</v>
      </c>
      <c r="N140" s="161"/>
      <c r="O140" s="275">
        <f>SUM(O141:R144)</f>
        <v>0</v>
      </c>
      <c r="P140" s="275"/>
      <c r="Q140" s="275"/>
      <c r="R140" s="275"/>
      <c r="S140" s="260">
        <f>IF(O140=0,0,SUM(O140,-X140))</f>
        <v>0</v>
      </c>
      <c r="T140" s="261"/>
      <c r="U140" s="262"/>
      <c r="V140" s="276">
        <f>IF(O140=0,0,S140/O140)</f>
        <v>0</v>
      </c>
      <c r="W140" s="277"/>
      <c r="X140" s="217"/>
      <c r="Y140" s="218"/>
      <c r="Z140" s="218"/>
      <c r="AA140" s="219"/>
      <c r="AB140" s="260">
        <f>SUM(AK140,-AE140,-AH140)</f>
        <v>0</v>
      </c>
      <c r="AC140" s="261"/>
      <c r="AD140" s="262"/>
      <c r="AE140" s="278"/>
      <c r="AF140" s="279"/>
      <c r="AG140" s="280"/>
      <c r="AH140" s="278"/>
      <c r="AI140" s="279"/>
      <c r="AJ140" s="280"/>
      <c r="AK140" s="260">
        <f>SUM(X140,AP143,-AP140)</f>
        <v>0</v>
      </c>
      <c r="AL140" s="261"/>
      <c r="AM140" s="262"/>
      <c r="AN140" s="276">
        <f>IF(X140=0,0,AK140/X140)</f>
        <v>0</v>
      </c>
      <c r="AO140" s="277"/>
      <c r="AP140" s="217"/>
      <c r="AQ140" s="218"/>
      <c r="AR140" s="218"/>
      <c r="AS140" s="219"/>
    </row>
    <row r="141" spans="1:45" s="1" customFormat="1" ht="15.75" customHeight="1">
      <c r="A141" s="8">
        <v>9</v>
      </c>
      <c r="B141" s="216" t="s">
        <v>381</v>
      </c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161" t="s">
        <v>1</v>
      </c>
      <c r="N141" s="161"/>
      <c r="O141" s="209"/>
      <c r="P141" s="209"/>
      <c r="Q141" s="209"/>
      <c r="R141" s="209"/>
      <c r="AE141" s="216" t="s">
        <v>23</v>
      </c>
      <c r="AF141" s="216"/>
      <c r="AG141" s="216"/>
      <c r="AH141" s="216"/>
      <c r="AI141" s="216"/>
      <c r="AJ141" s="216"/>
      <c r="AK141" s="216"/>
      <c r="AL141" s="216"/>
      <c r="AM141" s="216"/>
      <c r="AN141" s="216"/>
      <c r="AO141" s="216"/>
      <c r="AP141" s="217"/>
      <c r="AQ141" s="218"/>
      <c r="AR141" s="218"/>
      <c r="AS141" s="219"/>
    </row>
    <row r="142" spans="1:45" ht="15.75" customHeight="1">
      <c r="A142" s="8">
        <v>10</v>
      </c>
      <c r="B142" s="224" t="s">
        <v>22</v>
      </c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161" t="s">
        <v>1</v>
      </c>
      <c r="N142" s="161"/>
      <c r="O142" s="209"/>
      <c r="P142" s="209"/>
      <c r="Q142" s="209"/>
      <c r="R142" s="209"/>
    </row>
    <row r="143" spans="1:45" ht="15.75" customHeight="1">
      <c r="A143" s="8">
        <v>11</v>
      </c>
      <c r="B143" s="224" t="s">
        <v>21</v>
      </c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161" t="s">
        <v>1</v>
      </c>
      <c r="N143" s="161"/>
      <c r="O143" s="162">
        <f>J18</f>
        <v>0</v>
      </c>
      <c r="P143" s="162"/>
      <c r="Q143" s="162"/>
      <c r="R143" s="162"/>
      <c r="Z143" s="220" t="s">
        <v>20</v>
      </c>
      <c r="AA143" s="220"/>
      <c r="AB143" s="220"/>
      <c r="AC143" s="220"/>
      <c r="AD143" s="220"/>
      <c r="AE143" s="220"/>
      <c r="AF143" s="220"/>
      <c r="AG143" s="220"/>
      <c r="AH143" s="220"/>
      <c r="AI143" s="220"/>
      <c r="AJ143" s="220"/>
      <c r="AK143" s="220"/>
      <c r="AL143" s="220"/>
      <c r="AM143" s="220"/>
      <c r="AN143" s="161" t="s">
        <v>1</v>
      </c>
      <c r="AO143" s="161"/>
      <c r="AP143" s="221"/>
      <c r="AQ143" s="222"/>
      <c r="AR143" s="222"/>
      <c r="AS143" s="223"/>
    </row>
    <row r="144" spans="1:45" ht="15.75" customHeight="1">
      <c r="A144" s="8">
        <v>12</v>
      </c>
      <c r="B144" s="224" t="s">
        <v>324</v>
      </c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161" t="s">
        <v>1</v>
      </c>
      <c r="N144" s="161"/>
      <c r="O144" s="162"/>
      <c r="P144" s="162"/>
      <c r="Q144" s="162"/>
      <c r="R144" s="162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47" s="1" customFormat="1" ht="15.75" customHeight="1"/>
    <row r="146" spans="1:47" s="1" customFormat="1" ht="15.75" customHeight="1"/>
    <row r="147" spans="1:47" s="1" customFormat="1" ht="15.75" customHeight="1"/>
    <row r="148" spans="1:47" s="1" customFormat="1" ht="15.75" customHeight="1"/>
    <row r="149" spans="1:47" s="1" customFormat="1" ht="15.75" customHeight="1">
      <c r="A149" s="66" t="s">
        <v>7</v>
      </c>
      <c r="B149" s="160" t="s">
        <v>19</v>
      </c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58" t="s">
        <v>5</v>
      </c>
      <c r="T149" s="158"/>
      <c r="U149" s="159" t="s">
        <v>327</v>
      </c>
      <c r="V149" s="159"/>
      <c r="W149" s="159"/>
      <c r="Y149" s="66" t="s">
        <v>7</v>
      </c>
      <c r="Z149" s="160" t="s">
        <v>19</v>
      </c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58" t="s">
        <v>5</v>
      </c>
      <c r="AO149" s="158"/>
      <c r="AP149" s="254" t="str">
        <f>U149</f>
        <v>Стойност</v>
      </c>
      <c r="AQ149" s="254"/>
      <c r="AR149" s="254"/>
      <c r="AS149" s="254"/>
    </row>
    <row r="150" spans="1:47" s="1" customFormat="1" ht="15.75" customHeight="1">
      <c r="A150" s="8">
        <v>13</v>
      </c>
      <c r="B150" s="225" t="s">
        <v>18</v>
      </c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161" t="s">
        <v>13</v>
      </c>
      <c r="T150" s="161"/>
      <c r="U150" s="209"/>
      <c r="V150" s="209"/>
      <c r="W150" s="209"/>
      <c r="Y150" s="8">
        <v>20</v>
      </c>
      <c r="Z150" s="210" t="s">
        <v>17</v>
      </c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161" t="s">
        <v>1</v>
      </c>
      <c r="AO150" s="161"/>
      <c r="AP150" s="247">
        <f>SUM(AP140,-AP151)</f>
        <v>0</v>
      </c>
      <c r="AQ150" s="247"/>
      <c r="AR150" s="247"/>
      <c r="AS150" s="247"/>
    </row>
    <row r="151" spans="1:47" s="1" customFormat="1" ht="15.75" customHeight="1">
      <c r="A151" s="8">
        <v>14</v>
      </c>
      <c r="B151" s="215" t="s">
        <v>16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161" t="s">
        <v>13</v>
      </c>
      <c r="T151" s="161"/>
      <c r="U151" s="209"/>
      <c r="V151" s="209"/>
      <c r="W151" s="209"/>
      <c r="Y151" s="8">
        <v>21</v>
      </c>
      <c r="Z151" s="210" t="s">
        <v>15</v>
      </c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161" t="s">
        <v>1</v>
      </c>
      <c r="AO151" s="161"/>
      <c r="AP151" s="209"/>
      <c r="AQ151" s="209"/>
      <c r="AR151" s="209"/>
      <c r="AS151" s="209"/>
    </row>
    <row r="152" spans="1:47" s="1" customFormat="1" ht="15.75" customHeight="1">
      <c r="A152" s="8">
        <v>15</v>
      </c>
      <c r="B152" s="215" t="s">
        <v>14</v>
      </c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161" t="s">
        <v>13</v>
      </c>
      <c r="T152" s="161"/>
      <c r="U152" s="209"/>
      <c r="V152" s="209"/>
      <c r="W152" s="209"/>
      <c r="Y152" s="8">
        <v>22</v>
      </c>
      <c r="Z152" s="210" t="s">
        <v>12</v>
      </c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161" t="s">
        <v>11</v>
      </c>
      <c r="AO152" s="161"/>
      <c r="AP152" s="217"/>
      <c r="AQ152" s="218"/>
      <c r="AR152" s="218"/>
      <c r="AS152" s="219"/>
    </row>
    <row r="153" spans="1:47" s="1" customFormat="1" ht="15.75" customHeight="1">
      <c r="A153" s="8">
        <v>16</v>
      </c>
      <c r="B153" s="225" t="s">
        <v>10</v>
      </c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161" t="s">
        <v>2</v>
      </c>
      <c r="T153" s="161"/>
      <c r="U153" s="257"/>
      <c r="V153" s="257"/>
      <c r="W153" s="257"/>
      <c r="Y153" s="8">
        <v>23</v>
      </c>
      <c r="Z153" s="258" t="s">
        <v>9</v>
      </c>
      <c r="AA153" s="258"/>
      <c r="AB153" s="258"/>
      <c r="AC153" s="258"/>
      <c r="AD153" s="258"/>
      <c r="AE153" s="258"/>
      <c r="AF153" s="258"/>
      <c r="AG153" s="258"/>
      <c r="AH153" s="258"/>
      <c r="AI153" s="258"/>
      <c r="AJ153" s="258"/>
      <c r="AK153" s="258"/>
      <c r="AL153" s="258"/>
      <c r="AM153" s="258"/>
      <c r="AN153" s="259"/>
      <c r="AO153" s="259"/>
      <c r="AP153" s="260">
        <f>AP152*(19-U156)</f>
        <v>0</v>
      </c>
      <c r="AQ153" s="261"/>
      <c r="AR153" s="261"/>
      <c r="AS153" s="262"/>
      <c r="AT153" s="6"/>
      <c r="AU153" s="6"/>
    </row>
    <row r="154" spans="1:47" s="1" customFormat="1" ht="15.75" customHeight="1">
      <c r="A154" s="8">
        <v>17</v>
      </c>
      <c r="B154" s="225" t="s">
        <v>8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161" t="s">
        <v>2</v>
      </c>
      <c r="T154" s="161"/>
      <c r="U154" s="257"/>
      <c r="V154" s="257"/>
      <c r="W154" s="257"/>
      <c r="Y154" s="66" t="s">
        <v>7</v>
      </c>
      <c r="Z154" s="263" t="s">
        <v>6</v>
      </c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158" t="s">
        <v>5</v>
      </c>
      <c r="AO154" s="158"/>
      <c r="AP154" s="254" t="str">
        <f>AP149</f>
        <v>Стойност</v>
      </c>
      <c r="AQ154" s="254"/>
      <c r="AR154" s="254"/>
      <c r="AS154" s="254"/>
    </row>
    <row r="155" spans="1:47" s="1" customFormat="1" ht="15.75" customHeight="1">
      <c r="A155" s="8">
        <v>18</v>
      </c>
      <c r="B155" s="215" t="s">
        <v>328</v>
      </c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161" t="s">
        <v>4</v>
      </c>
      <c r="T155" s="161"/>
      <c r="U155" s="264"/>
      <c r="V155" s="264"/>
      <c r="W155" s="264"/>
      <c r="Y155" s="8">
        <v>24</v>
      </c>
      <c r="Z155" s="266" t="s">
        <v>334</v>
      </c>
      <c r="AA155" s="266"/>
      <c r="AB155" s="266"/>
      <c r="AC155" s="266"/>
      <c r="AD155" s="266"/>
      <c r="AE155" s="266"/>
      <c r="AF155" s="266"/>
      <c r="AG155" s="266"/>
      <c r="AH155" s="266"/>
      <c r="AI155" s="266"/>
      <c r="AJ155" s="266"/>
      <c r="AK155" s="266"/>
      <c r="AL155" s="266"/>
      <c r="AM155" s="266"/>
      <c r="AN155" s="161" t="s">
        <v>1</v>
      </c>
      <c r="AO155" s="161"/>
      <c r="AP155" s="209"/>
      <c r="AQ155" s="209"/>
      <c r="AR155" s="209"/>
      <c r="AS155" s="209"/>
    </row>
    <row r="156" spans="1:47" s="1" customFormat="1" ht="15.75" customHeight="1">
      <c r="A156" s="8">
        <v>19</v>
      </c>
      <c r="B156" s="265" t="s">
        <v>3</v>
      </c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59" t="s">
        <v>2</v>
      </c>
      <c r="T156" s="259"/>
      <c r="U156" s="267"/>
      <c r="V156" s="267"/>
      <c r="W156" s="267"/>
      <c r="Y156" s="7">
        <v>25</v>
      </c>
      <c r="Z156" s="229" t="s">
        <v>366</v>
      </c>
      <c r="AA156" s="229"/>
      <c r="AB156" s="229"/>
      <c r="AC156" s="229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161" t="s">
        <v>1</v>
      </c>
      <c r="AO156" s="161"/>
      <c r="AP156" s="228"/>
      <c r="AQ156" s="228"/>
      <c r="AR156" s="228"/>
      <c r="AS156" s="228"/>
    </row>
    <row r="157" spans="1:47" ht="15.75" customHeight="1"/>
    <row r="158" spans="1:47" ht="15.75" customHeight="1"/>
    <row r="159" spans="1:47" ht="15.75" customHeight="1"/>
    <row r="160" spans="1:47" ht="15.75" customHeight="1"/>
    <row r="161" spans="28:45" ht="15.75" customHeight="1"/>
    <row r="162" spans="28:45" s="1" customFormat="1" ht="15.75" customHeight="1">
      <c r="AB162" s="255" t="s">
        <v>0</v>
      </c>
      <c r="AC162" s="255"/>
      <c r="AD162" s="255"/>
      <c r="AE162" s="255"/>
      <c r="AF162" s="255"/>
      <c r="AG162" s="255"/>
      <c r="AH162" s="3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</row>
    <row r="163" spans="28:45" s="1" customFormat="1" ht="15.75" customHeight="1">
      <c r="AB163" s="2"/>
      <c r="AC163" s="2"/>
      <c r="AD163" s="2"/>
      <c r="AE163" s="2"/>
      <c r="AF163" s="2"/>
      <c r="AG163" s="2"/>
      <c r="AH163" s="256" t="s">
        <v>317</v>
      </c>
      <c r="AI163" s="256"/>
      <c r="AJ163" s="256"/>
      <c r="AK163" s="256"/>
      <c r="AL163" s="256"/>
      <c r="AM163" s="256"/>
      <c r="AN163" s="256"/>
      <c r="AO163" s="256"/>
      <c r="AP163" s="256"/>
      <c r="AQ163" s="256"/>
      <c r="AR163" s="256"/>
      <c r="AS163" s="256"/>
    </row>
    <row r="164" spans="28:45" ht="15.75" customHeight="1"/>
  </sheetData>
  <sheetProtection password="DD0C" sheet="1" objects="1" scenarios="1" formatCells="0" formatColumns="0" formatRows="0" insertColumns="0" insertRows="0" insertHyperlinks="0" deleteColumns="0" deleteRows="0" sort="0" autoFilter="0" pivotTables="0"/>
  <mergeCells count="1365">
    <mergeCell ref="B113:E113"/>
    <mergeCell ref="F113:K113"/>
    <mergeCell ref="B96:D96"/>
    <mergeCell ref="E95:G95"/>
    <mergeCell ref="E96:G96"/>
    <mergeCell ref="AO3:AS3"/>
    <mergeCell ref="AI5:AS5"/>
    <mergeCell ref="P9:R9"/>
    <mergeCell ref="S9:U9"/>
    <mergeCell ref="A9:B9"/>
    <mergeCell ref="A10:B10"/>
    <mergeCell ref="A11:B11"/>
    <mergeCell ref="A12:B12"/>
    <mergeCell ref="A13:B13"/>
    <mergeCell ref="P7:R7"/>
    <mergeCell ref="AR9:AS9"/>
    <mergeCell ref="AN86:AP86"/>
    <mergeCell ref="AQ86:AS86"/>
    <mergeCell ref="B88:E88"/>
    <mergeCell ref="F88:G88"/>
    <mergeCell ref="B89:E89"/>
    <mergeCell ref="F89:G89"/>
    <mergeCell ref="AB7:AD7"/>
    <mergeCell ref="AF7:AS8"/>
    <mergeCell ref="A8:D8"/>
    <mergeCell ref="E8:F8"/>
    <mergeCell ref="G8:I8"/>
    <mergeCell ref="J8:L8"/>
    <mergeCell ref="M8:O8"/>
    <mergeCell ref="P8:R8"/>
    <mergeCell ref="S8:U8"/>
    <mergeCell ref="V8:X8"/>
    <mergeCell ref="M5:AF5"/>
    <mergeCell ref="G9:I9"/>
    <mergeCell ref="Z1:AA1"/>
    <mergeCell ref="AC1:AN1"/>
    <mergeCell ref="AO1:AR1"/>
    <mergeCell ref="A2:D2"/>
    <mergeCell ref="E2:R2"/>
    <mergeCell ref="AC2:AN2"/>
    <mergeCell ref="AO2:AS2"/>
    <mergeCell ref="A4:E4"/>
    <mergeCell ref="G4:K4"/>
    <mergeCell ref="A1:D1"/>
    <mergeCell ref="E1:R1"/>
    <mergeCell ref="A5:E5"/>
    <mergeCell ref="G5:K5"/>
    <mergeCell ref="T1:U1"/>
    <mergeCell ref="V1:Y1"/>
    <mergeCell ref="AH3:AN3"/>
    <mergeCell ref="A7:D7"/>
    <mergeCell ref="E7:F7"/>
    <mergeCell ref="G7:I7"/>
    <mergeCell ref="J7:L7"/>
    <mergeCell ref="M7:O7"/>
    <mergeCell ref="AM9:AN9"/>
    <mergeCell ref="AO9:AQ9"/>
    <mergeCell ref="W7:X7"/>
    <mergeCell ref="M11:O11"/>
    <mergeCell ref="P11:R11"/>
    <mergeCell ref="AJ11:AL11"/>
    <mergeCell ref="AM11:AN11"/>
    <mergeCell ref="AM10:AN10"/>
    <mergeCell ref="S7:U7"/>
    <mergeCell ref="Y7:AA7"/>
    <mergeCell ref="J9:L9"/>
    <mergeCell ref="M9:O9"/>
    <mergeCell ref="M12:O12"/>
    <mergeCell ref="AR12:AS12"/>
    <mergeCell ref="E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J10:AL10"/>
    <mergeCell ref="E11:F11"/>
    <mergeCell ref="G11:I11"/>
    <mergeCell ref="Y8:AA8"/>
    <mergeCell ref="AB8:AD8"/>
    <mergeCell ref="E9:F9"/>
    <mergeCell ref="J11:L11"/>
    <mergeCell ref="V9:X9"/>
    <mergeCell ref="Y9:AA9"/>
    <mergeCell ref="AB9:AD9"/>
    <mergeCell ref="AJ9:AL9"/>
    <mergeCell ref="AO10:AQ10"/>
    <mergeCell ref="AR10:AS10"/>
    <mergeCell ref="P12:R12"/>
    <mergeCell ref="S12:U12"/>
    <mergeCell ref="V12:X12"/>
    <mergeCell ref="V11:X11"/>
    <mergeCell ref="Y11:AA11"/>
    <mergeCell ref="AB11:AD11"/>
    <mergeCell ref="S11:U11"/>
    <mergeCell ref="AF18:AH18"/>
    <mergeCell ref="AO12:AQ12"/>
    <mergeCell ref="AO11:AQ11"/>
    <mergeCell ref="AR11:AS11"/>
    <mergeCell ref="B19:G19"/>
    <mergeCell ref="H19:I19"/>
    <mergeCell ref="J19:L19"/>
    <mergeCell ref="X19:AC19"/>
    <mergeCell ref="AD19:AE19"/>
    <mergeCell ref="AF19:AH19"/>
    <mergeCell ref="A16:L16"/>
    <mergeCell ref="M16:V16"/>
    <mergeCell ref="W16:AH16"/>
    <mergeCell ref="E13:F13"/>
    <mergeCell ref="G13:I13"/>
    <mergeCell ref="J13:L13"/>
    <mergeCell ref="M13:O13"/>
    <mergeCell ref="P13:R13"/>
    <mergeCell ref="A14:AS14"/>
    <mergeCell ref="E12:F12"/>
    <mergeCell ref="G12:I12"/>
    <mergeCell ref="J12:L12"/>
    <mergeCell ref="Y13:AA13"/>
    <mergeCell ref="AJ12:AL12"/>
    <mergeCell ref="AM12:AN12"/>
    <mergeCell ref="B17:G17"/>
    <mergeCell ref="H17:I17"/>
    <mergeCell ref="J17:L17"/>
    <mergeCell ref="X17:AC17"/>
    <mergeCell ref="AD17:AE17"/>
    <mergeCell ref="AF17:AH17"/>
    <mergeCell ref="Y12:AA12"/>
    <mergeCell ref="AB12:AD12"/>
    <mergeCell ref="B18:G18"/>
    <mergeCell ref="H18:I18"/>
    <mergeCell ref="J18:L18"/>
    <mergeCell ref="X18:AC18"/>
    <mergeCell ref="AD18:AE18"/>
    <mergeCell ref="S13:U13"/>
    <mergeCell ref="V13:X13"/>
    <mergeCell ref="AJ13:AL13"/>
    <mergeCell ref="AM13:AN13"/>
    <mergeCell ref="S26:U26"/>
    <mergeCell ref="V26:X26"/>
    <mergeCell ref="Y26:AA26"/>
    <mergeCell ref="AB26:AD26"/>
    <mergeCell ref="AE26:AG26"/>
    <mergeCell ref="AH26:AJ26"/>
    <mergeCell ref="AK26:AM26"/>
    <mergeCell ref="AN26:AP26"/>
    <mergeCell ref="AQ26:AS26"/>
    <mergeCell ref="AD20:AE20"/>
    <mergeCell ref="AF20:AH20"/>
    <mergeCell ref="B24:M24"/>
    <mergeCell ref="N24:O24"/>
    <mergeCell ref="P24:R24"/>
    <mergeCell ref="S24:U24"/>
    <mergeCell ref="V24:X24"/>
    <mergeCell ref="Y24:AA24"/>
    <mergeCell ref="AB24:AD24"/>
    <mergeCell ref="AE24:AG24"/>
    <mergeCell ref="AH24:AJ24"/>
    <mergeCell ref="AK24:AM24"/>
    <mergeCell ref="AN24:AP24"/>
    <mergeCell ref="AQ24:AS24"/>
    <mergeCell ref="AO13:AQ13"/>
    <mergeCell ref="AR13:AS13"/>
    <mergeCell ref="AB13:AD13"/>
    <mergeCell ref="X20:AC20"/>
    <mergeCell ref="B27:M27"/>
    <mergeCell ref="N27:O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B25:M25"/>
    <mergeCell ref="N25:O25"/>
    <mergeCell ref="P25:R25"/>
    <mergeCell ref="S25:U25"/>
    <mergeCell ref="V25:X25"/>
    <mergeCell ref="Y25:AA25"/>
    <mergeCell ref="AB25:AD25"/>
    <mergeCell ref="AE25:AG25"/>
    <mergeCell ref="AH25:AJ25"/>
    <mergeCell ref="AK25:AM25"/>
    <mergeCell ref="AN25:AP25"/>
    <mergeCell ref="AQ25:AS25"/>
    <mergeCell ref="B22:AB22"/>
    <mergeCell ref="B26:M26"/>
    <mergeCell ref="N26:O26"/>
    <mergeCell ref="P26:R26"/>
    <mergeCell ref="B28:M28"/>
    <mergeCell ref="N28:O28"/>
    <mergeCell ref="P28:R28"/>
    <mergeCell ref="S28:U28"/>
    <mergeCell ref="V28:X28"/>
    <mergeCell ref="Y28:AA28"/>
    <mergeCell ref="AB28:AD28"/>
    <mergeCell ref="AE28:AG28"/>
    <mergeCell ref="AH28:AJ28"/>
    <mergeCell ref="AK28:AM28"/>
    <mergeCell ref="AN28:AP28"/>
    <mergeCell ref="AQ28:AS28"/>
    <mergeCell ref="B29:M29"/>
    <mergeCell ref="N29:O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B30:M30"/>
    <mergeCell ref="N30:O30"/>
    <mergeCell ref="P30:R30"/>
    <mergeCell ref="S30:U30"/>
    <mergeCell ref="V30:X30"/>
    <mergeCell ref="Y30:AA30"/>
    <mergeCell ref="AB30:AD30"/>
    <mergeCell ref="AE30:AG30"/>
    <mergeCell ref="AH30:AJ30"/>
    <mergeCell ref="AK30:AM30"/>
    <mergeCell ref="AN30:AP30"/>
    <mergeCell ref="AQ30:AS30"/>
    <mergeCell ref="B31:M31"/>
    <mergeCell ref="N31:O31"/>
    <mergeCell ref="P31:R31"/>
    <mergeCell ref="S31:U31"/>
    <mergeCell ref="V31:X31"/>
    <mergeCell ref="Y31:AA31"/>
    <mergeCell ref="AB31:AD31"/>
    <mergeCell ref="AE31:AG31"/>
    <mergeCell ref="AH31:AJ31"/>
    <mergeCell ref="AK31:AM31"/>
    <mergeCell ref="AN31:AP31"/>
    <mergeCell ref="AQ31:AS31"/>
    <mergeCell ref="B32:M32"/>
    <mergeCell ref="N32:O32"/>
    <mergeCell ref="P32:R32"/>
    <mergeCell ref="S32:U32"/>
    <mergeCell ref="V32:X32"/>
    <mergeCell ref="Y32:AA32"/>
    <mergeCell ref="AB32:AD32"/>
    <mergeCell ref="AE32:AG32"/>
    <mergeCell ref="AH32:AJ32"/>
    <mergeCell ref="AK32:AM32"/>
    <mergeCell ref="AN32:AP32"/>
    <mergeCell ref="AQ32:AS32"/>
    <mergeCell ref="B33:M33"/>
    <mergeCell ref="N33:O33"/>
    <mergeCell ref="P33:R33"/>
    <mergeCell ref="S33:U33"/>
    <mergeCell ref="V33:X33"/>
    <mergeCell ref="Y33:AA33"/>
    <mergeCell ref="AB33:AD33"/>
    <mergeCell ref="AE33:AG33"/>
    <mergeCell ref="AH33:AJ33"/>
    <mergeCell ref="AK33:AM33"/>
    <mergeCell ref="AN33:AP33"/>
    <mergeCell ref="AQ33:AS33"/>
    <mergeCell ref="B34:M34"/>
    <mergeCell ref="N34:O34"/>
    <mergeCell ref="P34:R34"/>
    <mergeCell ref="S34:U34"/>
    <mergeCell ref="V34:X34"/>
    <mergeCell ref="Y34:AA34"/>
    <mergeCell ref="AB34:AD34"/>
    <mergeCell ref="AE34:AG34"/>
    <mergeCell ref="AH34:AJ34"/>
    <mergeCell ref="AK34:AM34"/>
    <mergeCell ref="AN34:AP34"/>
    <mergeCell ref="AQ34:AS34"/>
    <mergeCell ref="B35:M35"/>
    <mergeCell ref="N35:O35"/>
    <mergeCell ref="P35:R35"/>
    <mergeCell ref="S35:U35"/>
    <mergeCell ref="V35:X35"/>
    <mergeCell ref="Y35:AA35"/>
    <mergeCell ref="AB35:AD35"/>
    <mergeCell ref="AE35:AG35"/>
    <mergeCell ref="AH35:AJ35"/>
    <mergeCell ref="AK35:AM35"/>
    <mergeCell ref="AN35:AP35"/>
    <mergeCell ref="AQ35:AS35"/>
    <mergeCell ref="B36:M36"/>
    <mergeCell ref="N36:O36"/>
    <mergeCell ref="P36:R36"/>
    <mergeCell ref="S36:U36"/>
    <mergeCell ref="V36:X36"/>
    <mergeCell ref="Y36:AA36"/>
    <mergeCell ref="AB36:AD36"/>
    <mergeCell ref="AE36:AG36"/>
    <mergeCell ref="AH36:AJ36"/>
    <mergeCell ref="AK36:AM36"/>
    <mergeCell ref="AN36:AP36"/>
    <mergeCell ref="AQ36:AS36"/>
    <mergeCell ref="B37:M37"/>
    <mergeCell ref="N37:O37"/>
    <mergeCell ref="P37:R37"/>
    <mergeCell ref="S37:U37"/>
    <mergeCell ref="V37:X37"/>
    <mergeCell ref="Y37:AA37"/>
    <mergeCell ref="AB37:AD37"/>
    <mergeCell ref="AE37:AG37"/>
    <mergeCell ref="AH37:AJ37"/>
    <mergeCell ref="AK37:AM37"/>
    <mergeCell ref="AN37:AP37"/>
    <mergeCell ref="AQ37:AS37"/>
    <mergeCell ref="B39:I39"/>
    <mergeCell ref="J39:K39"/>
    <mergeCell ref="L39:N39"/>
    <mergeCell ref="O39:R39"/>
    <mergeCell ref="V39:AE39"/>
    <mergeCell ref="AF39:AG39"/>
    <mergeCell ref="AH39:AJ39"/>
    <mergeCell ref="AK39:AM39"/>
    <mergeCell ref="AN39:AP39"/>
    <mergeCell ref="AQ39:AS39"/>
    <mergeCell ref="J40:K40"/>
    <mergeCell ref="L40:N40"/>
    <mergeCell ref="O40:R40"/>
    <mergeCell ref="V40:AE40"/>
    <mergeCell ref="AF40:AG40"/>
    <mergeCell ref="AH40:AJ40"/>
    <mergeCell ref="AK40:AM40"/>
    <mergeCell ref="AN40:AP40"/>
    <mergeCell ref="AQ40:AS40"/>
    <mergeCell ref="B41:I41"/>
    <mergeCell ref="J41:K41"/>
    <mergeCell ref="L41:N41"/>
    <mergeCell ref="V41:AE41"/>
    <mergeCell ref="AF41:AG41"/>
    <mergeCell ref="AH41:AJ41"/>
    <mergeCell ref="AK41:AM41"/>
    <mergeCell ref="AN41:AP41"/>
    <mergeCell ref="AQ41:AS41"/>
    <mergeCell ref="AH42:AJ42"/>
    <mergeCell ref="AK42:AM42"/>
    <mergeCell ref="AN42:AP42"/>
    <mergeCell ref="AQ42:AS42"/>
    <mergeCell ref="J43:K43"/>
    <mergeCell ref="L43:N43"/>
    <mergeCell ref="O43:Q43"/>
    <mergeCell ref="V43:AE43"/>
    <mergeCell ref="AF43:AG43"/>
    <mergeCell ref="L42:N42"/>
    <mergeCell ref="AF42:AG42"/>
    <mergeCell ref="V42:AE42"/>
    <mergeCell ref="AH48:AJ48"/>
    <mergeCell ref="AK48:AM48"/>
    <mergeCell ref="J48:K48"/>
    <mergeCell ref="L48:N48"/>
    <mergeCell ref="O48:Q48"/>
    <mergeCell ref="R48:T48"/>
    <mergeCell ref="AH43:AJ43"/>
    <mergeCell ref="AK43:AM43"/>
    <mergeCell ref="AN43:AP43"/>
    <mergeCell ref="AQ43:AS43"/>
    <mergeCell ref="B44:I44"/>
    <mergeCell ref="J44:K44"/>
    <mergeCell ref="L44:N44"/>
    <mergeCell ref="O44:Q44"/>
    <mergeCell ref="V44:AE44"/>
    <mergeCell ref="AF44:AG44"/>
    <mergeCell ref="AH44:AJ44"/>
    <mergeCell ref="AK44:AM44"/>
    <mergeCell ref="AN44:AP44"/>
    <mergeCell ref="AQ44:AS44"/>
    <mergeCell ref="V48:AE48"/>
    <mergeCell ref="AF48:AG48"/>
    <mergeCell ref="L47:N47"/>
    <mergeCell ref="O47:Q47"/>
    <mergeCell ref="R47:T47"/>
    <mergeCell ref="V47:AE47"/>
    <mergeCell ref="AF47:AG47"/>
    <mergeCell ref="B52:I52"/>
    <mergeCell ref="J52:K52"/>
    <mergeCell ref="L52:N52"/>
    <mergeCell ref="AE53:AG53"/>
    <mergeCell ref="AH53:AJ53"/>
    <mergeCell ref="AK53:AM53"/>
    <mergeCell ref="AH49:AJ49"/>
    <mergeCell ref="AK49:AM49"/>
    <mergeCell ref="AN49:AP49"/>
    <mergeCell ref="AQ49:AS49"/>
    <mergeCell ref="B45:I45"/>
    <mergeCell ref="J45:K45"/>
    <mergeCell ref="L45:N45"/>
    <mergeCell ref="O45:Q45"/>
    <mergeCell ref="V45:AE45"/>
    <mergeCell ref="AF45:AG45"/>
    <mergeCell ref="AH45:AJ45"/>
    <mergeCell ref="AK45:AM45"/>
    <mergeCell ref="AN45:AP45"/>
    <mergeCell ref="AQ45:AS45"/>
    <mergeCell ref="V46:AE46"/>
    <mergeCell ref="AF46:AG46"/>
    <mergeCell ref="AH46:AJ46"/>
    <mergeCell ref="AK46:AM46"/>
    <mergeCell ref="AN46:AP46"/>
    <mergeCell ref="AQ46:AS46"/>
    <mergeCell ref="B47:I47"/>
    <mergeCell ref="J47:K47"/>
    <mergeCell ref="AH47:AJ47"/>
    <mergeCell ref="AK47:AM47"/>
    <mergeCell ref="AN47:AP47"/>
    <mergeCell ref="AQ47:AS47"/>
    <mergeCell ref="B50:I50"/>
    <mergeCell ref="J50:K50"/>
    <mergeCell ref="L50:N50"/>
    <mergeCell ref="O50:Q50"/>
    <mergeCell ref="R50:T50"/>
    <mergeCell ref="V50:AE50"/>
    <mergeCell ref="AF50:AG50"/>
    <mergeCell ref="AH50:AJ50"/>
    <mergeCell ref="AK50:AM50"/>
    <mergeCell ref="AN50:AP50"/>
    <mergeCell ref="AQ50:AS50"/>
    <mergeCell ref="B51:I51"/>
    <mergeCell ref="J51:K51"/>
    <mergeCell ref="L51:N51"/>
    <mergeCell ref="O51:Q51"/>
    <mergeCell ref="R51:T51"/>
    <mergeCell ref="V51:AE51"/>
    <mergeCell ref="AF51:AG51"/>
    <mergeCell ref="AH51:AJ51"/>
    <mergeCell ref="AK51:AM51"/>
    <mergeCell ref="AN51:AP51"/>
    <mergeCell ref="AQ51:AS51"/>
    <mergeCell ref="AN55:AP55"/>
    <mergeCell ref="AQ55:AS55"/>
    <mergeCell ref="B56:M56"/>
    <mergeCell ref="N56:O56"/>
    <mergeCell ref="P56:R56"/>
    <mergeCell ref="S56:U56"/>
    <mergeCell ref="V56:X56"/>
    <mergeCell ref="Y56:AA56"/>
    <mergeCell ref="AB56:AD56"/>
    <mergeCell ref="AE56:AG56"/>
    <mergeCell ref="AH56:AJ56"/>
    <mergeCell ref="AK56:AM56"/>
    <mergeCell ref="AN56:AP56"/>
    <mergeCell ref="AQ56:AS56"/>
    <mergeCell ref="AH54:AJ54"/>
    <mergeCell ref="AK54:AM54"/>
    <mergeCell ref="AN54:AP54"/>
    <mergeCell ref="AQ54:AS54"/>
    <mergeCell ref="N54:O54"/>
    <mergeCell ref="B53:M53"/>
    <mergeCell ref="N53:O53"/>
    <mergeCell ref="P53:R53"/>
    <mergeCell ref="S53:U53"/>
    <mergeCell ref="V53:X53"/>
    <mergeCell ref="Y53:AA53"/>
    <mergeCell ref="AB53:AD53"/>
    <mergeCell ref="B57:M57"/>
    <mergeCell ref="N57:O57"/>
    <mergeCell ref="P57:R57"/>
    <mergeCell ref="S57:U57"/>
    <mergeCell ref="V57:X57"/>
    <mergeCell ref="Y57:AA57"/>
    <mergeCell ref="AB57:AD57"/>
    <mergeCell ref="AE57:AG57"/>
    <mergeCell ref="AH57:AJ57"/>
    <mergeCell ref="AK57:AM57"/>
    <mergeCell ref="B55:M55"/>
    <mergeCell ref="N55:O55"/>
    <mergeCell ref="P55:R55"/>
    <mergeCell ref="S55:U55"/>
    <mergeCell ref="V55:X55"/>
    <mergeCell ref="Y55:AA55"/>
    <mergeCell ref="AB55:AD55"/>
    <mergeCell ref="AE55:AG55"/>
    <mergeCell ref="AH55:AJ55"/>
    <mergeCell ref="AK55:AM55"/>
    <mergeCell ref="AE54:AG54"/>
    <mergeCell ref="AN57:AP57"/>
    <mergeCell ref="AQ57:AS57"/>
    <mergeCell ref="B58:M58"/>
    <mergeCell ref="N58:O58"/>
    <mergeCell ref="P58:R58"/>
    <mergeCell ref="S58:U58"/>
    <mergeCell ref="V58:X58"/>
    <mergeCell ref="Y58:AA58"/>
    <mergeCell ref="AB58:AD58"/>
    <mergeCell ref="AE58:AG58"/>
    <mergeCell ref="AH58:AJ58"/>
    <mergeCell ref="AK58:AM58"/>
    <mergeCell ref="AN58:AP58"/>
    <mergeCell ref="AQ58:AS58"/>
    <mergeCell ref="B59:M59"/>
    <mergeCell ref="N59:O59"/>
    <mergeCell ref="P59:R59"/>
    <mergeCell ref="S59:U59"/>
    <mergeCell ref="V59:X59"/>
    <mergeCell ref="Y59:AA59"/>
    <mergeCell ref="AB59:AD59"/>
    <mergeCell ref="AE59:AG59"/>
    <mergeCell ref="AH59:AJ59"/>
    <mergeCell ref="AK59:AM59"/>
    <mergeCell ref="AN59:AP59"/>
    <mergeCell ref="AQ59:AS59"/>
    <mergeCell ref="B60:M60"/>
    <mergeCell ref="N60:O60"/>
    <mergeCell ref="P60:R60"/>
    <mergeCell ref="S60:U60"/>
    <mergeCell ref="V60:X60"/>
    <mergeCell ref="Y60:AA60"/>
    <mergeCell ref="AB60:AD60"/>
    <mergeCell ref="AE60:AG60"/>
    <mergeCell ref="AH60:AJ60"/>
    <mergeCell ref="AK60:AM60"/>
    <mergeCell ref="AN60:AP60"/>
    <mergeCell ref="AQ60:AS60"/>
    <mergeCell ref="B61:M61"/>
    <mergeCell ref="N61:O61"/>
    <mergeCell ref="P61:R61"/>
    <mergeCell ref="S61:U61"/>
    <mergeCell ref="V61:X61"/>
    <mergeCell ref="Y61:AA61"/>
    <mergeCell ref="AB61:AD61"/>
    <mergeCell ref="AE61:AG61"/>
    <mergeCell ref="AH61:AJ61"/>
    <mergeCell ref="AK61:AM61"/>
    <mergeCell ref="AN61:AP61"/>
    <mergeCell ref="AQ61:AS61"/>
    <mergeCell ref="B62:M62"/>
    <mergeCell ref="N62:O62"/>
    <mergeCell ref="P62:R62"/>
    <mergeCell ref="S62:U62"/>
    <mergeCell ref="V62:X62"/>
    <mergeCell ref="Y62:AA62"/>
    <mergeCell ref="AB62:AD62"/>
    <mergeCell ref="AE62:AG62"/>
    <mergeCell ref="AH62:AJ62"/>
    <mergeCell ref="AK62:AM62"/>
    <mergeCell ref="AN62:AP62"/>
    <mergeCell ref="AQ62:AS62"/>
    <mergeCell ref="B63:M63"/>
    <mergeCell ref="N63:O63"/>
    <mergeCell ref="P63:R63"/>
    <mergeCell ref="S63:U63"/>
    <mergeCell ref="V63:X63"/>
    <mergeCell ref="Y63:AA63"/>
    <mergeCell ref="AB63:AD63"/>
    <mergeCell ref="AE63:AG63"/>
    <mergeCell ref="AH63:AJ63"/>
    <mergeCell ref="AK63:AM63"/>
    <mergeCell ref="AN63:AP63"/>
    <mergeCell ref="AQ63:AS63"/>
    <mergeCell ref="B64:M64"/>
    <mergeCell ref="N64:O64"/>
    <mergeCell ref="P64:R64"/>
    <mergeCell ref="S64:U64"/>
    <mergeCell ref="V64:X64"/>
    <mergeCell ref="Y64:AA64"/>
    <mergeCell ref="AB64:AD64"/>
    <mergeCell ref="AE64:AG64"/>
    <mergeCell ref="AH64:AJ64"/>
    <mergeCell ref="AK64:AM64"/>
    <mergeCell ref="AN64:AP64"/>
    <mergeCell ref="AQ64:AS64"/>
    <mergeCell ref="B65:M65"/>
    <mergeCell ref="N65:O65"/>
    <mergeCell ref="P65:R65"/>
    <mergeCell ref="S65:U65"/>
    <mergeCell ref="V65:X65"/>
    <mergeCell ref="Y65:AA65"/>
    <mergeCell ref="AB65:AD65"/>
    <mergeCell ref="AE65:AG65"/>
    <mergeCell ref="AH65:AJ65"/>
    <mergeCell ref="AK65:AM65"/>
    <mergeCell ref="AN65:AP65"/>
    <mergeCell ref="AQ65:AS65"/>
    <mergeCell ref="B66:M66"/>
    <mergeCell ref="N66:O66"/>
    <mergeCell ref="P66:R66"/>
    <mergeCell ref="S66:U66"/>
    <mergeCell ref="V66:X66"/>
    <mergeCell ref="Y66:AA66"/>
    <mergeCell ref="AB66:AD66"/>
    <mergeCell ref="AE66:AG66"/>
    <mergeCell ref="AH66:AJ66"/>
    <mergeCell ref="AK66:AM66"/>
    <mergeCell ref="AN66:AP66"/>
    <mergeCell ref="AQ66:AS66"/>
    <mergeCell ref="B67:M67"/>
    <mergeCell ref="N67:O67"/>
    <mergeCell ref="P67:R67"/>
    <mergeCell ref="S67:U67"/>
    <mergeCell ref="V67:X67"/>
    <mergeCell ref="Y67:AA67"/>
    <mergeCell ref="AB67:AD67"/>
    <mergeCell ref="AE67:AG67"/>
    <mergeCell ref="AH67:AJ67"/>
    <mergeCell ref="AK67:AM67"/>
    <mergeCell ref="AN67:AP67"/>
    <mergeCell ref="AQ67:AS67"/>
    <mergeCell ref="B68:M68"/>
    <mergeCell ref="N68:O68"/>
    <mergeCell ref="P68:R68"/>
    <mergeCell ref="S68:U68"/>
    <mergeCell ref="V68:X68"/>
    <mergeCell ref="Y68:AA68"/>
    <mergeCell ref="AB68:AD68"/>
    <mergeCell ref="AE68:AG68"/>
    <mergeCell ref="AH68:AJ68"/>
    <mergeCell ref="AK68:AM68"/>
    <mergeCell ref="AN68:AP68"/>
    <mergeCell ref="AQ68:AS68"/>
    <mergeCell ref="B69:M69"/>
    <mergeCell ref="N69:O69"/>
    <mergeCell ref="P69:R69"/>
    <mergeCell ref="S69:U69"/>
    <mergeCell ref="V69:X69"/>
    <mergeCell ref="Y69:AA69"/>
    <mergeCell ref="AB69:AD69"/>
    <mergeCell ref="AE69:AG69"/>
    <mergeCell ref="AH69:AJ69"/>
    <mergeCell ref="AK69:AM69"/>
    <mergeCell ref="AN69:AP69"/>
    <mergeCell ref="AQ69:AS69"/>
    <mergeCell ref="B70:M70"/>
    <mergeCell ref="N70:O70"/>
    <mergeCell ref="P70:R70"/>
    <mergeCell ref="S70:U70"/>
    <mergeCell ref="V70:X70"/>
    <mergeCell ref="Y70:AA70"/>
    <mergeCell ref="AB70:AD70"/>
    <mergeCell ref="AE70:AG70"/>
    <mergeCell ref="AH70:AJ70"/>
    <mergeCell ref="AK70:AM70"/>
    <mergeCell ref="AN70:AP70"/>
    <mergeCell ref="AQ70:AS70"/>
    <mergeCell ref="B71:M71"/>
    <mergeCell ref="N71:O71"/>
    <mergeCell ref="P71:R71"/>
    <mergeCell ref="S71:U71"/>
    <mergeCell ref="V71:X71"/>
    <mergeCell ref="Y71:AA71"/>
    <mergeCell ref="AB71:AD71"/>
    <mergeCell ref="AE71:AG71"/>
    <mergeCell ref="AH71:AJ71"/>
    <mergeCell ref="AK71:AM71"/>
    <mergeCell ref="AN71:AP71"/>
    <mergeCell ref="AQ71:AS71"/>
    <mergeCell ref="B72:M72"/>
    <mergeCell ref="N72:O72"/>
    <mergeCell ref="P72:R72"/>
    <mergeCell ref="S72:U72"/>
    <mergeCell ref="V72:X72"/>
    <mergeCell ref="Y72:AA72"/>
    <mergeCell ref="AB72:AD72"/>
    <mergeCell ref="AE72:AG72"/>
    <mergeCell ref="AH72:AJ72"/>
    <mergeCell ref="AK72:AM72"/>
    <mergeCell ref="AN72:AP72"/>
    <mergeCell ref="AQ72:AS72"/>
    <mergeCell ref="B73:M73"/>
    <mergeCell ref="N73:O73"/>
    <mergeCell ref="P73:R73"/>
    <mergeCell ref="S73:U73"/>
    <mergeCell ref="V73:X73"/>
    <mergeCell ref="Y73:AA73"/>
    <mergeCell ref="AB73:AD73"/>
    <mergeCell ref="AE73:AG73"/>
    <mergeCell ref="AH73:AJ73"/>
    <mergeCell ref="AK73:AM73"/>
    <mergeCell ref="AN73:AP73"/>
    <mergeCell ref="AQ73:AS73"/>
    <mergeCell ref="B74:M74"/>
    <mergeCell ref="N74:O74"/>
    <mergeCell ref="P74:R74"/>
    <mergeCell ref="S74:U74"/>
    <mergeCell ref="V74:X74"/>
    <mergeCell ref="Y74:AA74"/>
    <mergeCell ref="AB74:AD74"/>
    <mergeCell ref="AE74:AG74"/>
    <mergeCell ref="AH74:AJ74"/>
    <mergeCell ref="AK74:AM74"/>
    <mergeCell ref="AN74:AP74"/>
    <mergeCell ref="AQ74:AS74"/>
    <mergeCell ref="B76:G76"/>
    <mergeCell ref="H76:I76"/>
    <mergeCell ref="J76:L76"/>
    <mergeCell ref="M76:O76"/>
    <mergeCell ref="P76:R76"/>
    <mergeCell ref="S76:U76"/>
    <mergeCell ref="V76:X76"/>
    <mergeCell ref="Y76:AA76"/>
    <mergeCell ref="AB76:AD76"/>
    <mergeCell ref="AE76:AG76"/>
    <mergeCell ref="AH76:AJ76"/>
    <mergeCell ref="AK76:AM76"/>
    <mergeCell ref="AN76:AP76"/>
    <mergeCell ref="AQ76:AS76"/>
    <mergeCell ref="B77:G77"/>
    <mergeCell ref="H77:I77"/>
    <mergeCell ref="J77:L77"/>
    <mergeCell ref="M77:O77"/>
    <mergeCell ref="P77:R77"/>
    <mergeCell ref="S77:U77"/>
    <mergeCell ref="V77:X77"/>
    <mergeCell ref="Y77:AA77"/>
    <mergeCell ref="AB77:AD77"/>
    <mergeCell ref="AE77:AG77"/>
    <mergeCell ref="AH77:AJ77"/>
    <mergeCell ref="AK77:AM77"/>
    <mergeCell ref="AN77:AP77"/>
    <mergeCell ref="AQ77:AS77"/>
    <mergeCell ref="B78:G78"/>
    <mergeCell ref="H78:I78"/>
    <mergeCell ref="J78:L78"/>
    <mergeCell ref="M78:O78"/>
    <mergeCell ref="P78:R78"/>
    <mergeCell ref="S78:U78"/>
    <mergeCell ref="V78:X78"/>
    <mergeCell ref="Y78:AA78"/>
    <mergeCell ref="AB78:AD78"/>
    <mergeCell ref="AE78:AG78"/>
    <mergeCell ref="AH78:AJ78"/>
    <mergeCell ref="AK78:AM78"/>
    <mergeCell ref="AN78:AP78"/>
    <mergeCell ref="AQ78:AS78"/>
    <mergeCell ref="B79:G79"/>
    <mergeCell ref="H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H79:AJ79"/>
    <mergeCell ref="AK79:AM79"/>
    <mergeCell ref="AN79:AP79"/>
    <mergeCell ref="AQ79:AS79"/>
    <mergeCell ref="B80:G80"/>
    <mergeCell ref="H80:I80"/>
    <mergeCell ref="J80:L80"/>
    <mergeCell ref="M80:O80"/>
    <mergeCell ref="P80:R80"/>
    <mergeCell ref="S80:U80"/>
    <mergeCell ref="V80:X80"/>
    <mergeCell ref="Y80:AA80"/>
    <mergeCell ref="AB80:AD80"/>
    <mergeCell ref="AE80:AG80"/>
    <mergeCell ref="AH80:AJ80"/>
    <mergeCell ref="AK80:AM80"/>
    <mergeCell ref="AN80:AP80"/>
    <mergeCell ref="AQ80:AS80"/>
    <mergeCell ref="B81:G81"/>
    <mergeCell ref="H81:I81"/>
    <mergeCell ref="J81:L81"/>
    <mergeCell ref="M81:O81"/>
    <mergeCell ref="P81:R81"/>
    <mergeCell ref="S81:U81"/>
    <mergeCell ref="V81:X81"/>
    <mergeCell ref="Y81:AA81"/>
    <mergeCell ref="AB81:AD81"/>
    <mergeCell ref="AE81:AG81"/>
    <mergeCell ref="AH81:AJ81"/>
    <mergeCell ref="AK81:AM81"/>
    <mergeCell ref="AN81:AP81"/>
    <mergeCell ref="AQ81:AS81"/>
    <mergeCell ref="B82:G82"/>
    <mergeCell ref="H82:I82"/>
    <mergeCell ref="J82:L82"/>
    <mergeCell ref="M82:O82"/>
    <mergeCell ref="P82:R82"/>
    <mergeCell ref="S82:U82"/>
    <mergeCell ref="V82:X82"/>
    <mergeCell ref="Y82:AA82"/>
    <mergeCell ref="AB82:AD82"/>
    <mergeCell ref="AE82:AG82"/>
    <mergeCell ref="AH82:AJ82"/>
    <mergeCell ref="AK82:AM82"/>
    <mergeCell ref="AN82:AP82"/>
    <mergeCell ref="AQ82:AS82"/>
    <mergeCell ref="B83:G83"/>
    <mergeCell ref="H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H83:AJ83"/>
    <mergeCell ref="AK83:AM83"/>
    <mergeCell ref="AN83:AP83"/>
    <mergeCell ref="AQ83:AS83"/>
    <mergeCell ref="B84:G84"/>
    <mergeCell ref="H84:I84"/>
    <mergeCell ref="J84:L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AK84:AM84"/>
    <mergeCell ref="AN84:AP84"/>
    <mergeCell ref="AQ84:AS84"/>
    <mergeCell ref="B85:G85"/>
    <mergeCell ref="H85:I85"/>
    <mergeCell ref="J85:L85"/>
    <mergeCell ref="M85:O85"/>
    <mergeCell ref="P85:R85"/>
    <mergeCell ref="S85:U85"/>
    <mergeCell ref="V85:X85"/>
    <mergeCell ref="Y85:AA85"/>
    <mergeCell ref="AB85:AD85"/>
    <mergeCell ref="AE85:AG85"/>
    <mergeCell ref="AH85:AJ85"/>
    <mergeCell ref="AK85:AM85"/>
    <mergeCell ref="AN85:AP85"/>
    <mergeCell ref="AQ85:AS85"/>
    <mergeCell ref="B86:G86"/>
    <mergeCell ref="H86:I86"/>
    <mergeCell ref="J86:L86"/>
    <mergeCell ref="M86:O86"/>
    <mergeCell ref="P86:R86"/>
    <mergeCell ref="S86:U86"/>
    <mergeCell ref="V86:X86"/>
    <mergeCell ref="Y86:AA86"/>
    <mergeCell ref="AB86:AD86"/>
    <mergeCell ref="AE86:AG86"/>
    <mergeCell ref="AH86:AJ86"/>
    <mergeCell ref="AK86:AM86"/>
    <mergeCell ref="B87:G87"/>
    <mergeCell ref="H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H87:AJ87"/>
    <mergeCell ref="AK87:AM87"/>
    <mergeCell ref="AN87:AP87"/>
    <mergeCell ref="AQ87:AS87"/>
    <mergeCell ref="H88:I88"/>
    <mergeCell ref="J88:L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AK88:AM88"/>
    <mergeCell ref="AN88:AP88"/>
    <mergeCell ref="AQ88:AS88"/>
    <mergeCell ref="J89:L89"/>
    <mergeCell ref="M89:O89"/>
    <mergeCell ref="P89:R89"/>
    <mergeCell ref="S89:U89"/>
    <mergeCell ref="V89:X89"/>
    <mergeCell ref="Y89:AA89"/>
    <mergeCell ref="AB89:AD89"/>
    <mergeCell ref="AE89:AG89"/>
    <mergeCell ref="AH89:AJ89"/>
    <mergeCell ref="AK89:AM89"/>
    <mergeCell ref="AN89:AP89"/>
    <mergeCell ref="AQ89:AS89"/>
    <mergeCell ref="B91:G91"/>
    <mergeCell ref="H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H91:AJ91"/>
    <mergeCell ref="AK91:AM91"/>
    <mergeCell ref="AN91:AP91"/>
    <mergeCell ref="AQ91:AS91"/>
    <mergeCell ref="AH92:AJ92"/>
    <mergeCell ref="AK92:AM92"/>
    <mergeCell ref="AN92:AP92"/>
    <mergeCell ref="AQ92:AS92"/>
    <mergeCell ref="B93:G93"/>
    <mergeCell ref="H93:I93"/>
    <mergeCell ref="J93:L93"/>
    <mergeCell ref="M93:O93"/>
    <mergeCell ref="P93:R93"/>
    <mergeCell ref="S93:U93"/>
    <mergeCell ref="V93:X93"/>
    <mergeCell ref="Y93:AA93"/>
    <mergeCell ref="AB93:AD93"/>
    <mergeCell ref="AE93:AG93"/>
    <mergeCell ref="AH93:AJ93"/>
    <mergeCell ref="AK93:AM93"/>
    <mergeCell ref="AN93:AP93"/>
    <mergeCell ref="AQ93:AS93"/>
    <mergeCell ref="AH94:AJ94"/>
    <mergeCell ref="AK94:AM94"/>
    <mergeCell ref="AN94:AP94"/>
    <mergeCell ref="AQ94:AS94"/>
    <mergeCell ref="H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H95:AJ95"/>
    <mergeCell ref="AK95:AM95"/>
    <mergeCell ref="AN95:AP95"/>
    <mergeCell ref="AQ95:AS95"/>
    <mergeCell ref="H94:I94"/>
    <mergeCell ref="S94:U94"/>
    <mergeCell ref="V94:X94"/>
    <mergeCell ref="Y94:AA94"/>
    <mergeCell ref="J94:L94"/>
    <mergeCell ref="M94:O94"/>
    <mergeCell ref="P94:R94"/>
    <mergeCell ref="AB94:AD94"/>
    <mergeCell ref="AE94:AG94"/>
    <mergeCell ref="AK96:AM96"/>
    <mergeCell ref="AN96:AP96"/>
    <mergeCell ref="AQ96:AS96"/>
    <mergeCell ref="H97:I97"/>
    <mergeCell ref="J97:L97"/>
    <mergeCell ref="M97:O97"/>
    <mergeCell ref="P97:R97"/>
    <mergeCell ref="S97:U97"/>
    <mergeCell ref="V97:X97"/>
    <mergeCell ref="Y97:AA97"/>
    <mergeCell ref="AB97:AD97"/>
    <mergeCell ref="AE97:AG97"/>
    <mergeCell ref="AH97:AJ97"/>
    <mergeCell ref="AK97:AM97"/>
    <mergeCell ref="AN97:AP97"/>
    <mergeCell ref="AQ97:AS97"/>
    <mergeCell ref="Y96:AA96"/>
    <mergeCell ref="AB96:AD96"/>
    <mergeCell ref="AE96:AG96"/>
    <mergeCell ref="AH96:AJ96"/>
    <mergeCell ref="AK101:AM101"/>
    <mergeCell ref="AN101:AP101"/>
    <mergeCell ref="AQ101:AS101"/>
    <mergeCell ref="H98:I98"/>
    <mergeCell ref="J98:L98"/>
    <mergeCell ref="M98:O98"/>
    <mergeCell ref="P98:R98"/>
    <mergeCell ref="S98:U98"/>
    <mergeCell ref="V98:X98"/>
    <mergeCell ref="Y98:AA98"/>
    <mergeCell ref="AB98:AD98"/>
    <mergeCell ref="AE98:AG98"/>
    <mergeCell ref="AH98:AJ98"/>
    <mergeCell ref="AK98:AM98"/>
    <mergeCell ref="AN98:AP98"/>
    <mergeCell ref="AQ98:AS98"/>
    <mergeCell ref="H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H99:AJ99"/>
    <mergeCell ref="AK99:AM99"/>
    <mergeCell ref="AN99:AP99"/>
    <mergeCell ref="AQ99:AS99"/>
    <mergeCell ref="AH101:AJ101"/>
    <mergeCell ref="AK102:AM102"/>
    <mergeCell ref="AN102:AP102"/>
    <mergeCell ref="AQ102:AS102"/>
    <mergeCell ref="H103:I103"/>
    <mergeCell ref="J103:L103"/>
    <mergeCell ref="M103:O103"/>
    <mergeCell ref="P103:R103"/>
    <mergeCell ref="S103:U103"/>
    <mergeCell ref="V103:X103"/>
    <mergeCell ref="Y103:AA103"/>
    <mergeCell ref="AB103:AD103"/>
    <mergeCell ref="AE103:AG103"/>
    <mergeCell ref="AH103:AJ103"/>
    <mergeCell ref="AK103:AM103"/>
    <mergeCell ref="AN103:AP103"/>
    <mergeCell ref="AQ103:AS103"/>
    <mergeCell ref="B100:G100"/>
    <mergeCell ref="H100:I100"/>
    <mergeCell ref="J100:L100"/>
    <mergeCell ref="M100:O100"/>
    <mergeCell ref="P100:R100"/>
    <mergeCell ref="S100:U100"/>
    <mergeCell ref="V100:X100"/>
    <mergeCell ref="Y100:AA100"/>
    <mergeCell ref="AB100:AD100"/>
    <mergeCell ref="AE100:AG100"/>
    <mergeCell ref="AH100:AJ100"/>
    <mergeCell ref="AK100:AM100"/>
    <mergeCell ref="AN100:AP100"/>
    <mergeCell ref="AQ100:AS100"/>
    <mergeCell ref="H101:I101"/>
    <mergeCell ref="J101:L101"/>
    <mergeCell ref="AE104:AG104"/>
    <mergeCell ref="AH104:AJ104"/>
    <mergeCell ref="AK104:AM104"/>
    <mergeCell ref="AN104:AP104"/>
    <mergeCell ref="AQ104:AS104"/>
    <mergeCell ref="H105:I105"/>
    <mergeCell ref="J105:L105"/>
    <mergeCell ref="M105:O105"/>
    <mergeCell ref="P105:R105"/>
    <mergeCell ref="S105:U105"/>
    <mergeCell ref="V105:X105"/>
    <mergeCell ref="Y105:AA105"/>
    <mergeCell ref="AB105:AD105"/>
    <mergeCell ref="AE105:AG105"/>
    <mergeCell ref="AH105:AJ105"/>
    <mergeCell ref="AK105:AM105"/>
    <mergeCell ref="AN105:AP105"/>
    <mergeCell ref="AQ105:AS105"/>
    <mergeCell ref="H104:I104"/>
    <mergeCell ref="J104:L104"/>
    <mergeCell ref="M104:O104"/>
    <mergeCell ref="P104:R104"/>
    <mergeCell ref="S104:U104"/>
    <mergeCell ref="B120:C121"/>
    <mergeCell ref="D120:J121"/>
    <mergeCell ref="K120:P121"/>
    <mergeCell ref="Q120:AB120"/>
    <mergeCell ref="AI120:AN120"/>
    <mergeCell ref="AO120:AP120"/>
    <mergeCell ref="AQ120:AS120"/>
    <mergeCell ref="Q121:V121"/>
    <mergeCell ref="W121:AB121"/>
    <mergeCell ref="AI121:AN121"/>
    <mergeCell ref="AO121:AP121"/>
    <mergeCell ref="AQ121:AS121"/>
    <mergeCell ref="AO112:AS112"/>
    <mergeCell ref="M115:AS115"/>
    <mergeCell ref="R113:V113"/>
    <mergeCell ref="B115:E115"/>
    <mergeCell ref="F115:K115"/>
    <mergeCell ref="N117:Q117"/>
    <mergeCell ref="T117:Z117"/>
    <mergeCell ref="M113:Q113"/>
    <mergeCell ref="W113:AB113"/>
    <mergeCell ref="AC113:AH113"/>
    <mergeCell ref="AI113:AN113"/>
    <mergeCell ref="M112:Q112"/>
    <mergeCell ref="S112:V112"/>
    <mergeCell ref="W112:AB112"/>
    <mergeCell ref="AC112:AH112"/>
    <mergeCell ref="AI112:AN112"/>
    <mergeCell ref="AO113:AS113"/>
    <mergeCell ref="N118:Q118"/>
    <mergeCell ref="AD118:AG118"/>
    <mergeCell ref="AJ118:AM118"/>
    <mergeCell ref="B122:C122"/>
    <mergeCell ref="D122:J122"/>
    <mergeCell ref="K122:P122"/>
    <mergeCell ref="Q122:V122"/>
    <mergeCell ref="W122:AB122"/>
    <mergeCell ref="AI122:AN122"/>
    <mergeCell ref="AO122:AP122"/>
    <mergeCell ref="AQ122:AS122"/>
    <mergeCell ref="AO129:AS129"/>
    <mergeCell ref="B130:M130"/>
    <mergeCell ref="N130:O130"/>
    <mergeCell ref="P130:T130"/>
    <mergeCell ref="U130:W130"/>
    <mergeCell ref="X130:Y130"/>
    <mergeCell ref="Z130:AD130"/>
    <mergeCell ref="AE130:AG130"/>
    <mergeCell ref="AH130:AI130"/>
    <mergeCell ref="AJ130:AN130"/>
    <mergeCell ref="AO130:AS130"/>
    <mergeCell ref="B123:C123"/>
    <mergeCell ref="D123:J123"/>
    <mergeCell ref="K123:P123"/>
    <mergeCell ref="Q123:V123"/>
    <mergeCell ref="W123:AB123"/>
    <mergeCell ref="AI123:AN123"/>
    <mergeCell ref="AO123:AP123"/>
    <mergeCell ref="AQ123:AS123"/>
    <mergeCell ref="B124:C124"/>
    <mergeCell ref="D124:J124"/>
    <mergeCell ref="K124:P124"/>
    <mergeCell ref="Q124:V124"/>
    <mergeCell ref="W124:AB124"/>
    <mergeCell ref="B133:M133"/>
    <mergeCell ref="N133:O133"/>
    <mergeCell ref="AO131:AQ131"/>
    <mergeCell ref="AI124:AN124"/>
    <mergeCell ref="AO124:AP124"/>
    <mergeCell ref="AQ124:AS124"/>
    <mergeCell ref="A127:Q127"/>
    <mergeCell ref="P133:T133"/>
    <mergeCell ref="U133:W133"/>
    <mergeCell ref="X133:Y133"/>
    <mergeCell ref="Z133:AK133"/>
    <mergeCell ref="B134:M134"/>
    <mergeCell ref="N134:O134"/>
    <mergeCell ref="P134:T134"/>
    <mergeCell ref="U134:W134"/>
    <mergeCell ref="X134:Y134"/>
    <mergeCell ref="Z134:AK134"/>
    <mergeCell ref="B129:M129"/>
    <mergeCell ref="N129:O129"/>
    <mergeCell ref="P129:T129"/>
    <mergeCell ref="U129:Y129"/>
    <mergeCell ref="Z129:AD129"/>
    <mergeCell ref="AE129:AI129"/>
    <mergeCell ref="AJ129:AN129"/>
    <mergeCell ref="AR131:AS131"/>
    <mergeCell ref="AP140:AS140"/>
    <mergeCell ref="AB140:AD140"/>
    <mergeCell ref="AE140:AG140"/>
    <mergeCell ref="A138:A139"/>
    <mergeCell ref="B138:L139"/>
    <mergeCell ref="M138:N139"/>
    <mergeCell ref="O138:R139"/>
    <mergeCell ref="S138:W139"/>
    <mergeCell ref="X138:AA139"/>
    <mergeCell ref="AB138:AO138"/>
    <mergeCell ref="AP138:AS139"/>
    <mergeCell ref="AB139:AD139"/>
    <mergeCell ref="AE139:AG139"/>
    <mergeCell ref="AH139:AJ139"/>
    <mergeCell ref="AK139:AM139"/>
    <mergeCell ref="AN139:AO139"/>
    <mergeCell ref="B131:M131"/>
    <mergeCell ref="N131:O131"/>
    <mergeCell ref="P131:T131"/>
    <mergeCell ref="U131:W131"/>
    <mergeCell ref="X131:Y131"/>
    <mergeCell ref="Z131:AD131"/>
    <mergeCell ref="AE131:AG131"/>
    <mergeCell ref="AH131:AI131"/>
    <mergeCell ref="AJ131:AN131"/>
    <mergeCell ref="B132:M132"/>
    <mergeCell ref="N132:O132"/>
    <mergeCell ref="P132:T132"/>
    <mergeCell ref="U132:W132"/>
    <mergeCell ref="X132:Y132"/>
    <mergeCell ref="Z132:AK132"/>
    <mergeCell ref="AO132:AS134"/>
    <mergeCell ref="B136:M136"/>
    <mergeCell ref="N136:O136"/>
    <mergeCell ref="P136:T136"/>
    <mergeCell ref="U136:W136"/>
    <mergeCell ref="X136:Y136"/>
    <mergeCell ref="Z136:AD136"/>
    <mergeCell ref="AE136:AG136"/>
    <mergeCell ref="AH136:AI136"/>
    <mergeCell ref="AJ136:AN136"/>
    <mergeCell ref="B140:L140"/>
    <mergeCell ref="M140:N140"/>
    <mergeCell ref="O140:R140"/>
    <mergeCell ref="S140:U140"/>
    <mergeCell ref="V140:W140"/>
    <mergeCell ref="AH140:AJ140"/>
    <mergeCell ref="AK140:AM140"/>
    <mergeCell ref="AN140:AO140"/>
    <mergeCell ref="X140:AA140"/>
    <mergeCell ref="AB162:AG162"/>
    <mergeCell ref="AH163:AS163"/>
    <mergeCell ref="B153:R153"/>
    <mergeCell ref="S153:T153"/>
    <mergeCell ref="U153:W153"/>
    <mergeCell ref="Z153:AM153"/>
    <mergeCell ref="AN153:AO153"/>
    <mergeCell ref="AP153:AS153"/>
    <mergeCell ref="B154:R154"/>
    <mergeCell ref="S154:T154"/>
    <mergeCell ref="U154:W154"/>
    <mergeCell ref="Z154:AM154"/>
    <mergeCell ref="AN154:AO154"/>
    <mergeCell ref="AP154:AS154"/>
    <mergeCell ref="B155:R155"/>
    <mergeCell ref="S155:T155"/>
    <mergeCell ref="U155:W155"/>
    <mergeCell ref="B156:R156"/>
    <mergeCell ref="S156:T156"/>
    <mergeCell ref="Z155:AM155"/>
    <mergeCell ref="AN155:AO155"/>
    <mergeCell ref="AP155:AS155"/>
    <mergeCell ref="U156:W156"/>
    <mergeCell ref="B141:L141"/>
    <mergeCell ref="B142:L142"/>
    <mergeCell ref="AH102:AJ102"/>
    <mergeCell ref="AP156:AS156"/>
    <mergeCell ref="Z156:AM156"/>
    <mergeCell ref="AN156:AO156"/>
    <mergeCell ref="M4:AF4"/>
    <mergeCell ref="AF9:AG9"/>
    <mergeCell ref="AF10:AG10"/>
    <mergeCell ref="AF11:AG11"/>
    <mergeCell ref="AF12:AG12"/>
    <mergeCell ref="AF13:AG13"/>
    <mergeCell ref="A6:AF6"/>
    <mergeCell ref="U150:W150"/>
    <mergeCell ref="Z150:AM150"/>
    <mergeCell ref="AN150:AO150"/>
    <mergeCell ref="AP150:AS150"/>
    <mergeCell ref="B151:R151"/>
    <mergeCell ref="S151:T151"/>
    <mergeCell ref="U151:W151"/>
    <mergeCell ref="Z151:AM151"/>
    <mergeCell ref="AN151:AO151"/>
    <mergeCell ref="AP151:AS151"/>
    <mergeCell ref="B40:I40"/>
    <mergeCell ref="B149:R149"/>
    <mergeCell ref="B135:M135"/>
    <mergeCell ref="N135:O135"/>
    <mergeCell ref="P135:Y135"/>
    <mergeCell ref="Z135:AD135"/>
    <mergeCell ref="AO135:AS135"/>
    <mergeCell ref="AN149:AO149"/>
    <mergeCell ref="AP149:AS149"/>
    <mergeCell ref="AN53:AP53"/>
    <mergeCell ref="AQ53:AS53"/>
    <mergeCell ref="B48:I48"/>
    <mergeCell ref="U152:W152"/>
    <mergeCell ref="Z152:AM152"/>
    <mergeCell ref="AN48:AP48"/>
    <mergeCell ref="AQ48:AS48"/>
    <mergeCell ref="B49:I49"/>
    <mergeCell ref="J49:K49"/>
    <mergeCell ref="L49:N49"/>
    <mergeCell ref="O49:Q49"/>
    <mergeCell ref="B152:R152"/>
    <mergeCell ref="S152:T152"/>
    <mergeCell ref="M141:N141"/>
    <mergeCell ref="O141:R141"/>
    <mergeCell ref="AE141:AO141"/>
    <mergeCell ref="AP141:AS141"/>
    <mergeCell ref="Z143:AM143"/>
    <mergeCell ref="AN143:AO143"/>
    <mergeCell ref="AP143:AS143"/>
    <mergeCell ref="B144:L144"/>
    <mergeCell ref="M144:N144"/>
    <mergeCell ref="O144:R144"/>
    <mergeCell ref="AN152:AO152"/>
    <mergeCell ref="AP152:AS152"/>
    <mergeCell ref="B150:R150"/>
    <mergeCell ref="M142:N142"/>
    <mergeCell ref="O142:R142"/>
    <mergeCell ref="B143:L143"/>
    <mergeCell ref="S150:T150"/>
    <mergeCell ref="B98:D98"/>
    <mergeCell ref="E98:G98"/>
    <mergeCell ref="B99:D99"/>
    <mergeCell ref="E99:G99"/>
    <mergeCell ref="B101:D101"/>
    <mergeCell ref="E101:G101"/>
    <mergeCell ref="B42:I42"/>
    <mergeCell ref="J42:K42"/>
    <mergeCell ref="R49:T49"/>
    <mergeCell ref="V49:AE49"/>
    <mergeCell ref="AF49:AG49"/>
    <mergeCell ref="B43:I43"/>
    <mergeCell ref="M101:O101"/>
    <mergeCell ref="P101:R101"/>
    <mergeCell ref="S101:U101"/>
    <mergeCell ref="V101:X101"/>
    <mergeCell ref="Y101:AA101"/>
    <mergeCell ref="AB101:AD101"/>
    <mergeCell ref="AE101:AG101"/>
    <mergeCell ref="H96:I96"/>
    <mergeCell ref="J96:L96"/>
    <mergeCell ref="M96:O96"/>
    <mergeCell ref="P96:R96"/>
    <mergeCell ref="S96:U96"/>
    <mergeCell ref="V96:X96"/>
    <mergeCell ref="B94:G94"/>
    <mergeCell ref="M92:O92"/>
    <mergeCell ref="P92:R92"/>
    <mergeCell ref="S92:U92"/>
    <mergeCell ref="V92:X92"/>
    <mergeCell ref="Y92:AA92"/>
    <mergeCell ref="AB92:AD92"/>
    <mergeCell ref="AE92:AG92"/>
    <mergeCell ref="H89:I89"/>
    <mergeCell ref="S149:T149"/>
    <mergeCell ref="U149:W149"/>
    <mergeCell ref="Z149:AM149"/>
    <mergeCell ref="M143:N143"/>
    <mergeCell ref="O143:R143"/>
    <mergeCell ref="AP118:AS118"/>
    <mergeCell ref="M108:Q108"/>
    <mergeCell ref="B102:D102"/>
    <mergeCell ref="E102:G102"/>
    <mergeCell ref="B103:D103"/>
    <mergeCell ref="E103:G103"/>
    <mergeCell ref="B104:D104"/>
    <mergeCell ref="E104:G104"/>
    <mergeCell ref="B111:E111"/>
    <mergeCell ref="F111:K111"/>
    <mergeCell ref="Y102:AA102"/>
    <mergeCell ref="AB102:AD102"/>
    <mergeCell ref="S102:U102"/>
    <mergeCell ref="V102:X102"/>
    <mergeCell ref="AE102:AG102"/>
    <mergeCell ref="AD117:AG117"/>
    <mergeCell ref="AJ117:AM117"/>
    <mergeCell ref="AP117:AS117"/>
    <mergeCell ref="B112:E112"/>
    <mergeCell ref="F112:K112"/>
    <mergeCell ref="AI111:AN111"/>
    <mergeCell ref="AO111:AS111"/>
    <mergeCell ref="B107:K107"/>
    <mergeCell ref="M107:Q107"/>
    <mergeCell ref="B105:D105"/>
    <mergeCell ref="E105:G105"/>
    <mergeCell ref="B109:E109"/>
    <mergeCell ref="F109:K109"/>
    <mergeCell ref="M109:Q109"/>
    <mergeCell ref="V104:X104"/>
    <mergeCell ref="Y104:AA104"/>
    <mergeCell ref="AB104:AD104"/>
    <mergeCell ref="O52:Q52"/>
    <mergeCell ref="R52:T52"/>
    <mergeCell ref="P54:R54"/>
    <mergeCell ref="B54:M54"/>
    <mergeCell ref="S54:U54"/>
    <mergeCell ref="V54:X54"/>
    <mergeCell ref="Y54:AA54"/>
    <mergeCell ref="AB54:AD54"/>
    <mergeCell ref="N111:O111"/>
    <mergeCell ref="S111:V111"/>
    <mergeCell ref="W111:AB111"/>
    <mergeCell ref="AC111:AH111"/>
    <mergeCell ref="H102:I102"/>
    <mergeCell ref="J102:L102"/>
    <mergeCell ref="M102:O102"/>
    <mergeCell ref="P102:R102"/>
    <mergeCell ref="B97:D97"/>
    <mergeCell ref="E97:G97"/>
    <mergeCell ref="B95:D95"/>
    <mergeCell ref="B92:G92"/>
    <mergeCell ref="H92:I92"/>
    <mergeCell ref="J92:L92"/>
    <mergeCell ref="B110:E110"/>
    <mergeCell ref="F110:K110"/>
    <mergeCell ref="M110:Q110"/>
    <mergeCell ref="B108:K108"/>
    <mergeCell ref="S110:AS110"/>
  </mergeCells>
  <conditionalFormatting sqref="AQ121:AS121">
    <cfRule type="cellIs" dxfId="2" priority="1" stopIfTrue="1" operator="lessThan">
      <formula>$AQ$120</formula>
    </cfRule>
    <cfRule type="cellIs" dxfId="1" priority="2" stopIfTrue="1" operator="lessThan">
      <formula>$AQ$120</formula>
    </cfRule>
    <cfRule type="cellIs" dxfId="0" priority="3" stopIfTrue="1" operator="lessThan">
      <formula>0.7355</formula>
    </cfRule>
  </conditionalFormatting>
  <dataValidations xWindow="384" yWindow="628" count="26">
    <dataValidation type="decimal" allowBlank="1" showInputMessage="1" showErrorMessage="1" errorTitle="ВЪЗМОЖНИ ПОЗИЦИИ" error="1 или 2" promptTitle="ЛЕГЕНДА" prompt="1 - турбина с кондензатор и регулируем/и пароотбор/и_x000a_2 - турбина с противоналягане" sqref="S54:AS54">
      <formula1>1</formula1>
      <formula2>2</formula2>
    </dataValidation>
    <dataValidation type="whole" allowBlank="1" showInputMessage="1" showErrorMessage="1" errorTitle="1 или 2" error="Извън посочените стойности." promptTitle="Тип инсталация" prompt="1 - ТГ;_x000a_2 - КПГЦ (комб. парогазов цикъл);_x000a_Изчистване с Backspace" sqref="AS1">
      <formula1>1</formula1>
      <formula2>2</formula2>
    </dataValidation>
    <dataValidation type="whole" allowBlank="1" showInputMessage="1" showErrorMessage="1" errorTitle="1 или 2" error="Извън посочените стойности." promptTitle="Тип гориво" prompt="1 - Газообразно_x000a_2 - Течно_x000a_Изчистване с Backspace" sqref="F5">
      <formula1>0</formula1>
      <formula2>2</formula2>
    </dataValidation>
    <dataValidation type="whole" allowBlank="1" showInputMessage="1" showErrorMessage="1" errorTitle="От 1 до 4" error="Извън посочените стойности." promptTitle="Вид гориво" prompt="1, 2, 3 или 4_x000a_Променяй номера от 1 до 4, докато се появи конкретното използвано гориво. Изчистване с Backspace" sqref="L5">
      <formula1>0</formula1>
      <formula2>4</formula2>
    </dataValidation>
    <dataValidation type="whole" allowBlank="1" showInputMessage="1" showErrorMessage="1" errorTitle="Само указание" error="Не попълвай цифра" promptTitle="Клетки с този цвят:" prompt="Задължително се попълват, за да се получи правилно изчисление - следвайте указанията на падащите менюта. Започнете от горе надолу (клетка AS1)." sqref="AH5">
      <formula1>0</formula1>
      <formula2>0</formula2>
    </dataValidation>
    <dataValidation type="decimal" operator="greaterThanOrEqual" allowBlank="1" showInputMessage="1" showErrorMessage="1" errorTitle="ГРЕШКА" error="Трябва да е по-голяма или равна на &quot;ЕЕ закупена за производство&quot;!" promptTitle="Е сн тец (собствени нужди) ТЕЦ" prompt="Записва се използваното количество ЕЕ за собствени нужди на ТЕЦ, отнасящо се за производството." sqref="M112:Q112">
      <formula1>F113-0.1</formula1>
    </dataValidation>
    <dataValidation allowBlank="1" showInputMessage="1" showErrorMessage="1" promptTitle="При наличие на Qнекомб." prompt="изчислете и запишете ст-ста до 3-тия знак на:_x000a_Fнекомб.q= Qнекомб./ηнекомб.q,_x000a_където: ηнекомб.q определено според алгоритъма_x000a_" sqref="P84:AS84"/>
    <dataValidation allowBlank="1" showInputMessage="1" showErrorMessage="1" promptTitle="При наличие на Qнекомб." prompt="изчислете и запишете стойността до 3-тия знак на:_x000a_Fнекомб.q= Qнекомб./ηнекомб.q,_x000a_където: ηнекомб.q определено според алгоритъма_x000a_" sqref="M84:O84"/>
    <dataValidation type="whole" allowBlank="1" showInputMessage="1" showErrorMessage="1" errorTitle="От 1 до 6" error="Извън посочените стойности." promptTitle="Вид гориво" prompt="1, 2, 3, 4, 5 или 6_x000a_Променяй номера от 1 до 6, докато се появи конкретното използвано гориво. Изчистване с Backspace" sqref="L4">
      <formula1>0</formula1>
      <formula2>6</formula2>
    </dataValidation>
    <dataValidation type="whole" allowBlank="1" showInputMessage="1" showErrorMessage="1" errorTitle="1, 2, 3  или 4" error="Извън посочените стойности." promptTitle="Тип гориво" prompt="1 - Газообразно_x000a_2 - Течно_x000a_3 - Твърдо_x000a_4 - Други_x000a_Изчистване с Backspace" sqref="F4">
      <formula1>0</formula1>
      <formula2>4</formula2>
    </dataValidation>
    <dataValidation type="whole" allowBlank="1" showInputMessage="1" showErrorMessage="1" errorTitle="ВНИМАНИЕ!" error="1, 2, 3, 4, 5  или 6" promptTitle="Запишете номера на вид г-во" prompt="Препишете номера от клетка L4, след като сте определили в ред №4 разновидността на ЧЕТВЪРТОТО използвано гориво от ЕПГ (ако има такова). Изчистване с Backspace." sqref="D12">
      <formula1>1</formula1>
      <formula2>6</formula2>
    </dataValidation>
    <dataValidation type="whole" allowBlank="1" showInputMessage="1" showErrorMessage="1" errorTitle="ВНИМАНИЕ!" error="1, 2 или 3" promptTitle="Запишете номера на тип г-во" prompt="Препишете номера от клетка F4, след като сте определили в ред №4 разновидността на ЧЕТВЪРТОТО използвано гориво от ЕПГ (ако има такова). Изчистване с Backspace." sqref="C12">
      <formula1>1</formula1>
      <formula2>3</formula2>
    </dataValidation>
    <dataValidation type="whole" allowBlank="1" showInputMessage="1" showErrorMessage="1" errorTitle="ВНИМАНИЕ!" error="1, 2, 3, 4, 5  или 6" promptTitle="Запишете номера на вид г-во" prompt="Препишете номера от клетка L4, след като сте определили в ред №4 разновидността на ТРЕТОТО използвано гориво от ЕПГ (ако има такова). Изчистване с Backspace." sqref="D11">
      <formula1>1</formula1>
      <formula2>6</formula2>
    </dataValidation>
    <dataValidation type="whole" allowBlank="1" showInputMessage="1" showErrorMessage="1" errorTitle="ВНИМАНИЕ!" error="1,2 или 3" promptTitle="Запишете номера на тип г-во" prompt="Препишете номера от клетка F4, след като сте определили в ред №4 разновидността на ТРЕТОТО използвано гориво от ЕПГ (ако има такова). Изчистване с Backspace." sqref="C11">
      <formula1>1</formula1>
      <formula2>3</formula2>
    </dataValidation>
    <dataValidation type="whole" allowBlank="1" showInputMessage="1" showErrorMessage="1" errorTitle="ВНИМАНИЕ!" error="1, 2, 3, 4, 5  или 6" promptTitle="Запишете номера на вид г-во" prompt="Препишете номера от клетка L4, след като сте определили в ред №4 разновидността на ВТОРОТО използвано гориво от ЕПГ (ако има такова). Изчистване с Backspace." sqref="D10">
      <formula1>1</formula1>
      <formula2>6</formula2>
    </dataValidation>
    <dataValidation type="whole" allowBlank="1" showInputMessage="1" showErrorMessage="1" errorTitle="ВНИМАНИЕ!" error="1, 2 или 3" promptTitle="Запишете номера на тип г-во" prompt="Препишете номера от клетка F4, след като сте определили в ред №4 разновидността на ВТОРОТО използвано гориво от ЕПГ (ако има такова). Изчистване с Backspace." sqref="C10">
      <formula1>1</formula1>
      <formula2>3</formula2>
    </dataValidation>
    <dataValidation type="whole" allowBlank="1" showInputMessage="1" showErrorMessage="1" errorTitle="ВНИМАНИЕ!" error="1,2, 3, 4, 5  или 6" promptTitle="Запишете номера на вид г-во" prompt="Препишете номера от клетка L4, след като сте определили в ред №4 разновидността на ПЪРВОТО използвано гориво от ЕПГ. Изчистване с Backspace." sqref="D9">
      <formula1>1</formula1>
      <formula2>6</formula2>
    </dataValidation>
    <dataValidation type="whole" allowBlank="1" showInputMessage="1" showErrorMessage="1" errorTitle="ВНИМАНИЕ!" error="1, 2 или 3." promptTitle="Запишете номера на тип г-во" prompt="Препишете номера от клетка F4, след като сте определили в ред №4 разновидността на ПЪРВОТО използвано гориво от ЕПГ. Изчистване с Backspace." sqref="C9">
      <formula1>1</formula1>
      <formula2>3</formula2>
    </dataValidation>
    <dataValidation type="whole" allowBlank="1" showInputMessage="1" showErrorMessage="1" errorTitle="ИЗБЕРИ:" error="1 или 2" promptTitle="Попълнете цифрата от диапазона:" prompt="1 - за 2015 г. (до края) и по-рано_x000a_2 - за 2016 г. и по-нататък" sqref="S55:AS55 O52:T52">
      <formula1>1</formula1>
      <formula2>2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N118" sqref="M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D118" sqref="AC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J118" sqref="AI117">
      <formula1>1</formula1>
      <formula2>8</formula2>
    </dataValidation>
    <dataValidation type="whole" allowBlank="1" showInputMessage="1" showErrorMessage="1" errorTitle="От 1 до 8" error="Извън посочените стойности." promptTitle="Напрежение на свързване" prompt="1 - ≥ 345 kV_x000a_2 - ≥200 kV - &lt;345 kV_x000a_3 - ≥100 kV - &lt;200 kV_x000a_4 - ≥ 50 kV  - &lt;100 kV_x000a_5 - ≥12 KV   - &lt;50 kV_x000a_6 - ≥0,45 kV- &lt;12 kV_x000a_7 - &lt;0,45 kV_x000a_8 - Изчислен за няколко напрежения - впиши в кл. AP118" sqref="AO117">
      <formula1>1</formula1>
      <formula2>8</formula2>
    </dataValidation>
    <dataValidation allowBlank="1" showInputMessage="1" showErrorMessage="1" promptTitle="Филиал преди електромер на изход" prompt="Записва се количеството електрическа енергия отпусната към филиал (по чл. 119, ал. 2 от ЗЕ), само в случаите, когато уредът за търговско мерене е след него. В останалите случаи се записва сумирана в &quot;Други&quot; към изнесената извън площадката на ТЕЦ." sqref="F112:K112"/>
    <dataValidation type="decimal" allowBlank="1" showInputMessage="1" showErrorMessage="1" errorTitle="ВНИМАНИЕ!" error="Невъзможна средна температура за България извън рамките от -25 до +35 градуса." promptTitle="ЗА РАЙОНА НА ТЕЦ" prompt="Съгласно справка от НИМХ - само при  ГАЗООБРАЗНО гориво. Когато температурата е точно &quot;0&quot; градуса, запишете слабо различаваща се стойност след 4-тия знак - напр. &quot;0,00001&quot;" sqref="AO2:AS2">
      <formula1>-25</formula1>
      <formula2>35</formula2>
    </dataValidation>
    <dataValidation type="whole" allowBlank="1" showInputMessage="1" showErrorMessage="1" errorTitle="ВНИМАНИЕ" error="Празно или 1." promptTitle="Според предназначението на ТЕ:" prompt="Запишете в квадратчето номер:_x000a_1 - само ако КУ с доп. F2 на ГТ, се явява парогенератор на някой ТГ, с който образуват заедно КПГЦ._x000a_Забележка: При всички останали случаи оставете квадратчето празно (равняващо се на &quot;0&quot;)" sqref="V7">
      <formula1>0</formula1>
      <formula2>1</formula2>
    </dataValidation>
  </dataValidations>
  <printOptions horizontalCentered="1"/>
  <pageMargins left="0.51181102362204722" right="0.11811023622047245" top="0.74803149606299213" bottom="0.35433070866141736" header="0.51181102362204722" footer="0.11811023622047245"/>
  <pageSetup paperSize="9" scale="56" firstPageNumber="0" orientation="portrait" r:id="rId1"/>
  <headerFooter>
    <oddFooter>&amp;L&amp;F&amp;CМЕСЕЧНА СПРАВКА&amp;R&amp;P(&amp;N)</oddFooter>
  </headerFooter>
  <rowBreaks count="1" manualBreakCount="1">
    <brk id="82" max="44" man="1"/>
  </rowBreaks>
  <ignoredErrors>
    <ignoredError sqref="F115 O143" unlockedFormula="1"/>
    <ignoredError sqref="AN102 M102 P10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Означения</vt:lpstr>
      <vt:lpstr>Справка по чл_ 4_ ал_ 5</vt:lpstr>
      <vt:lpstr>Означения!Print_Area</vt:lpstr>
      <vt:lpstr>'Справка по чл_ 4_ ал_ 5'!Print_Area</vt:lpstr>
      <vt:lpstr>'Справка по чл_ 4_ ал_ 5'!Print_Titles</vt:lpstr>
    </vt:vector>
  </TitlesOfParts>
  <Company>SEWRC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dk-sbori</dc:creator>
  <cp:lastModifiedBy>Dorian Dyankov</cp:lastModifiedBy>
  <cp:lastPrinted>2017-08-31T11:25:24Z</cp:lastPrinted>
  <dcterms:created xsi:type="dcterms:W3CDTF">2009-12-11T15:06:53Z</dcterms:created>
  <dcterms:modified xsi:type="dcterms:W3CDTF">2019-08-16T06:53:17Z</dcterms:modified>
</cp:coreProperties>
</file>